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rocomercostarica-my.sharepoint.com/personal/rrojase_procomer_com/Documents/Escritorio/Yuca/"/>
    </mc:Choice>
  </mc:AlternateContent>
  <xr:revisionPtr revIDLastSave="441" documentId="13_ncr:1_{21491CE6-68D0-4A10-A0A5-8386C189AD55}" xr6:coauthVersionLast="47" xr6:coauthVersionMax="47" xr10:uidLastSave="{568D44ED-B6A7-4689-84B7-B3E0A0756BD7}"/>
  <bookViews>
    <workbookView xWindow="-110" yWindow="-110" windowWidth="19420" windowHeight="10300" firstSheet="2" activeTab="4" xr2:uid="{00000000-000D-0000-FFFF-FFFF00000000}"/>
  </bookViews>
  <sheets>
    <sheet name="Supuestos" sheetId="1" r:id="rId1"/>
    <sheet name="Costos Detallados" sheetId="2" r:id="rId2"/>
    <sheet name="Inversión Equipo e Infraestruct" sheetId="3" r:id="rId3"/>
    <sheet name="Amortización Deuda" sheetId="8" r:id="rId4"/>
    <sheet name="Flujo Caja" sheetId="10" r:id="rId5"/>
    <sheet name="Estadisticas Procomer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0" l="1"/>
  <c r="D20" i="2"/>
  <c r="D23" i="2"/>
  <c r="D36" i="2"/>
  <c r="L7" i="9"/>
  <c r="X15" i="9"/>
  <c r="B8" i="10"/>
  <c r="C7" i="2"/>
  <c r="B27" i="9"/>
  <c r="B8" i="2"/>
  <c r="AI15" i="9" l="1"/>
  <c r="C7" i="9"/>
  <c r="C17" i="9"/>
  <c r="M24" i="2"/>
  <c r="M22" i="2"/>
  <c r="E20" i="2"/>
  <c r="F20" i="2" s="1"/>
  <c r="B14" i="2"/>
  <c r="B9" i="2"/>
  <c r="E27" i="2"/>
  <c r="E36" i="2"/>
  <c r="B11" i="2" s="1"/>
  <c r="B12" i="2" s="1"/>
  <c r="C9" i="2"/>
  <c r="B13" i="9"/>
  <c r="J22" i="2"/>
  <c r="J23" i="2"/>
  <c r="J21" i="2"/>
  <c r="B8" i="8"/>
  <c r="B7" i="8" l="1"/>
  <c r="B40" i="10" s="1"/>
  <c r="B13" i="1"/>
  <c r="C8" i="3"/>
  <c r="I8" i="3" s="1"/>
  <c r="D56" i="2"/>
  <c r="E53" i="2"/>
  <c r="F53" i="2" s="1"/>
  <c r="E54" i="2"/>
  <c r="F54" i="2" s="1"/>
  <c r="E55" i="2"/>
  <c r="F55" i="2" s="1"/>
  <c r="E52" i="2"/>
  <c r="F52" i="2" s="1"/>
  <c r="E44" i="2"/>
  <c r="F44" i="2" s="1"/>
  <c r="E45" i="2"/>
  <c r="F45" i="2" s="1"/>
  <c r="E43" i="2"/>
  <c r="F43" i="2" s="1"/>
  <c r="D46" i="2"/>
  <c r="E33" i="2"/>
  <c r="E34" i="2"/>
  <c r="F34" i="2" s="1"/>
  <c r="E35" i="2"/>
  <c r="F35" i="2" s="1"/>
  <c r="E30" i="2"/>
  <c r="F30" i="2" s="1"/>
  <c r="E31" i="2"/>
  <c r="F31" i="2" s="1"/>
  <c r="E32" i="2"/>
  <c r="E28" i="2"/>
  <c r="F28" i="2" s="1"/>
  <c r="E29" i="2"/>
  <c r="F29" i="2" s="1"/>
  <c r="E24" i="2"/>
  <c r="F24" i="2" s="1"/>
  <c r="E25" i="2"/>
  <c r="F25" i="2" s="1"/>
  <c r="E26" i="2"/>
  <c r="F26" i="2" s="1"/>
  <c r="E23" i="2"/>
  <c r="F23" i="2" s="1"/>
  <c r="E22" i="2"/>
  <c r="F22" i="2" s="1"/>
  <c r="E21" i="2"/>
  <c r="B7" i="10"/>
  <c r="H7" i="10" s="1"/>
  <c r="M15" i="9"/>
  <c r="L15" i="9"/>
  <c r="K15" i="9"/>
  <c r="J15" i="9"/>
  <c r="I15" i="9"/>
  <c r="H15" i="9"/>
  <c r="G15" i="9"/>
  <c r="F15" i="9"/>
  <c r="E15" i="9"/>
  <c r="D15" i="9"/>
  <c r="C15" i="9"/>
  <c r="B15" i="9"/>
  <c r="M14" i="9"/>
  <c r="L14" i="9"/>
  <c r="K14" i="9"/>
  <c r="J14" i="9"/>
  <c r="I14" i="9"/>
  <c r="H14" i="9"/>
  <c r="G14" i="9"/>
  <c r="F14" i="9"/>
  <c r="E14" i="9"/>
  <c r="D14" i="9"/>
  <c r="C14" i="9"/>
  <c r="B14" i="9"/>
  <c r="M13" i="9"/>
  <c r="L13" i="9"/>
  <c r="K13" i="9"/>
  <c r="J13" i="9"/>
  <c r="I13" i="9"/>
  <c r="H13" i="9"/>
  <c r="G13" i="9"/>
  <c r="F13" i="9"/>
  <c r="E13" i="9"/>
  <c r="D13" i="9"/>
  <c r="C13" i="9"/>
  <c r="M12" i="9"/>
  <c r="L12" i="9"/>
  <c r="K12" i="9"/>
  <c r="J12" i="9"/>
  <c r="I12" i="9"/>
  <c r="H12" i="9"/>
  <c r="G12" i="9"/>
  <c r="F12" i="9"/>
  <c r="E12" i="9"/>
  <c r="D12" i="9"/>
  <c r="C12" i="9"/>
  <c r="B12" i="9"/>
  <c r="M11" i="9"/>
  <c r="L11" i="9"/>
  <c r="K11" i="9"/>
  <c r="J11" i="9"/>
  <c r="I11" i="9"/>
  <c r="H11" i="9"/>
  <c r="G11" i="9"/>
  <c r="F11" i="9"/>
  <c r="E11" i="9"/>
  <c r="D11" i="9"/>
  <c r="C11" i="9"/>
  <c r="B11" i="9"/>
  <c r="M10" i="9"/>
  <c r="L10" i="9"/>
  <c r="K10" i="9"/>
  <c r="J10" i="9"/>
  <c r="I10" i="9"/>
  <c r="H10" i="9"/>
  <c r="G10" i="9"/>
  <c r="F10" i="9"/>
  <c r="E10" i="9"/>
  <c r="D10" i="9"/>
  <c r="C10" i="9"/>
  <c r="B10" i="9"/>
  <c r="M9" i="9"/>
  <c r="L9" i="9"/>
  <c r="K9" i="9"/>
  <c r="J9" i="9"/>
  <c r="I9" i="9"/>
  <c r="H9" i="9"/>
  <c r="G9" i="9"/>
  <c r="F9" i="9"/>
  <c r="E9" i="9"/>
  <c r="D9" i="9"/>
  <c r="C9" i="9"/>
  <c r="B9" i="9"/>
  <c r="M8" i="9"/>
  <c r="L8" i="9"/>
  <c r="K8" i="9"/>
  <c r="J8" i="9"/>
  <c r="I8" i="9"/>
  <c r="H8" i="9"/>
  <c r="H16" i="9" s="1"/>
  <c r="E25" i="9" s="1"/>
  <c r="G8" i="9"/>
  <c r="G16" i="9" s="1"/>
  <c r="F8" i="9"/>
  <c r="E8" i="9"/>
  <c r="E16" i="9" s="1"/>
  <c r="D8" i="9"/>
  <c r="C8" i="9"/>
  <c r="B8" i="9"/>
  <c r="M7" i="9"/>
  <c r="K7" i="9"/>
  <c r="K16" i="9" s="1"/>
  <c r="J7" i="9"/>
  <c r="J16" i="9" s="1"/>
  <c r="F25" i="9" s="1"/>
  <c r="I7" i="9"/>
  <c r="I16" i="9" s="1"/>
  <c r="H7" i="9"/>
  <c r="G7" i="9"/>
  <c r="F7" i="9"/>
  <c r="F16" i="9" s="1"/>
  <c r="D25" i="9" s="1"/>
  <c r="E7" i="9"/>
  <c r="D7" i="9"/>
  <c r="D16" i="9" s="1"/>
  <c r="C25" i="9" s="1"/>
  <c r="C16" i="9"/>
  <c r="B7" i="9"/>
  <c r="B16" i="9" s="1"/>
  <c r="B25" i="9" s="1"/>
  <c r="L16" i="9" l="1"/>
  <c r="G25" i="9" s="1"/>
  <c r="H25" i="9" s="1"/>
  <c r="M16" i="9"/>
  <c r="F36" i="2"/>
  <c r="C11" i="2"/>
  <c r="F21" i="2"/>
  <c r="B7" i="2"/>
  <c r="G8" i="3"/>
  <c r="F8" i="3"/>
  <c r="H8" i="3"/>
  <c r="F56" i="2"/>
  <c r="E56" i="2"/>
  <c r="E8" i="3"/>
  <c r="C8" i="2"/>
  <c r="F46" i="2"/>
  <c r="B10" i="2"/>
  <c r="E46" i="2"/>
  <c r="B12" i="10" s="1"/>
  <c r="F32" i="2"/>
  <c r="E37" i="2"/>
  <c r="F27" i="2"/>
  <c r="F33" i="2"/>
  <c r="E7" i="10"/>
  <c r="F7" i="10"/>
  <c r="G7" i="10"/>
  <c r="D7" i="10"/>
  <c r="H8" i="10"/>
  <c r="E17" i="9"/>
  <c r="C24" i="9"/>
  <c r="C26" i="9" s="1"/>
  <c r="C27" i="9" s="1"/>
  <c r="G17" i="9"/>
  <c r="D24" i="9"/>
  <c r="D26" i="9" s="1"/>
  <c r="D27" i="9" s="1"/>
  <c r="I17" i="9"/>
  <c r="E24" i="9"/>
  <c r="E26" i="9" s="1"/>
  <c r="E27" i="9" s="1"/>
  <c r="B24" i="9"/>
  <c r="K17" i="9"/>
  <c r="F24" i="9"/>
  <c r="F26" i="9" s="1"/>
  <c r="F27" i="9" s="1"/>
  <c r="M17" i="9" l="1"/>
  <c r="D14" i="10"/>
  <c r="D8" i="10"/>
  <c r="D12" i="10" s="1"/>
  <c r="G24" i="9"/>
  <c r="C10" i="2"/>
  <c r="B13" i="2"/>
  <c r="H12" i="10"/>
  <c r="J8" i="3"/>
  <c r="B14" i="10"/>
  <c r="C14" i="2"/>
  <c r="G8" i="10"/>
  <c r="G12" i="10" s="1"/>
  <c r="F37" i="2"/>
  <c r="E8" i="10"/>
  <c r="E12" i="10" s="1"/>
  <c r="F8" i="10"/>
  <c r="F12" i="10" s="1"/>
  <c r="B26" i="9"/>
  <c r="G26" i="9" l="1"/>
  <c r="G27" i="9" s="1"/>
  <c r="H28" i="9" s="1"/>
  <c r="H24" i="9"/>
  <c r="H26" i="9" s="1"/>
  <c r="C12" i="2"/>
  <c r="C13" i="2" s="1"/>
  <c r="C15" i="2" s="1"/>
  <c r="C26" i="10" s="1"/>
  <c r="B15" i="2"/>
  <c r="H14" i="10"/>
  <c r="E14" i="10"/>
  <c r="F14" i="10"/>
  <c r="G14" i="10"/>
  <c r="B13" i="10"/>
  <c r="D13" i="10" s="1"/>
  <c r="D15" i="10" s="1"/>
  <c r="B9" i="1" l="1"/>
  <c r="B9" i="10" s="1"/>
  <c r="H27" i="9"/>
  <c r="H13" i="10"/>
  <c r="H15" i="10" s="1"/>
  <c r="G13" i="10"/>
  <c r="G15" i="10" s="1"/>
  <c r="F13" i="10"/>
  <c r="F15" i="10" s="1"/>
  <c r="E13" i="10"/>
  <c r="E15" i="10" s="1"/>
  <c r="B6" i="8"/>
  <c r="H9" i="10" l="1"/>
  <c r="H10" i="10" s="1"/>
  <c r="G9" i="10"/>
  <c r="G10" i="10" s="1"/>
  <c r="D9" i="10"/>
  <c r="D10" i="10" s="1"/>
  <c r="E9" i="10"/>
  <c r="E10" i="10" s="1"/>
  <c r="F9" i="10"/>
  <c r="F10" i="10" s="1"/>
  <c r="I13" i="8"/>
  <c r="B10" i="8"/>
  <c r="E13" i="8" s="1"/>
  <c r="B9" i="8"/>
  <c r="C23" i="10"/>
  <c r="C28" i="10" s="1"/>
  <c r="C34" i="10" s="1"/>
  <c r="B13" i="8"/>
  <c r="C13" i="8" s="1"/>
  <c r="E14" i="8" l="1"/>
  <c r="D13" i="8"/>
  <c r="F13" i="8" s="1"/>
  <c r="B14" i="8" s="1"/>
  <c r="C14" i="8" s="1"/>
  <c r="C32" i="10"/>
  <c r="C29" i="10"/>
  <c r="E15" i="8" l="1"/>
  <c r="E16" i="8" s="1"/>
  <c r="E17" i="8" s="1"/>
  <c r="E18" i="8" s="1"/>
  <c r="E19" i="8" s="1"/>
  <c r="D14" i="8"/>
  <c r="F14" i="8" s="1"/>
  <c r="C37" i="10"/>
  <c r="C35" i="10"/>
  <c r="E20" i="8" l="1"/>
  <c r="B15" i="8"/>
  <c r="C15" i="8" l="1"/>
  <c r="E21" i="8"/>
  <c r="D15" i="8" l="1"/>
  <c r="E22" i="8"/>
  <c r="E23" i="8" l="1"/>
  <c r="F15" i="8"/>
  <c r="B16" i="8" l="1"/>
  <c r="C16" i="8" s="1"/>
  <c r="E24" i="8"/>
  <c r="E25" i="8" l="1"/>
  <c r="L13" i="8"/>
  <c r="D16" i="8" l="1"/>
  <c r="E26" i="8"/>
  <c r="E27" i="8" l="1"/>
  <c r="F16" i="8"/>
  <c r="B17" i="8" l="1"/>
  <c r="C17" i="8" s="1"/>
  <c r="E28" i="8"/>
  <c r="D17" i="8" l="1"/>
  <c r="E29" i="8"/>
  <c r="E30" i="8" l="1"/>
  <c r="F17" i="8"/>
  <c r="B18" i="8" l="1"/>
  <c r="C18" i="8" s="1"/>
  <c r="D18" i="8" s="1"/>
  <c r="F18" i="8" s="1"/>
  <c r="E31" i="8"/>
  <c r="B19" i="8" l="1"/>
  <c r="C19" i="8" s="1"/>
  <c r="D19" i="8" s="1"/>
  <c r="F19" i="8" s="1"/>
  <c r="E32" i="8"/>
  <c r="B20" i="8" l="1"/>
  <c r="C20" i="8" s="1"/>
  <c r="D20" i="8" s="1"/>
  <c r="F20" i="8" s="1"/>
  <c r="E33" i="8"/>
  <c r="B21" i="8" l="1"/>
  <c r="C21" i="8" s="1"/>
  <c r="D21" i="8" s="1"/>
  <c r="F21" i="8" s="1"/>
  <c r="E34" i="8"/>
  <c r="B22" i="8" l="1"/>
  <c r="C22" i="8" s="1"/>
  <c r="D22" i="8" s="1"/>
  <c r="F22" i="8" s="1"/>
  <c r="E35" i="8"/>
  <c r="E36" i="8" l="1"/>
  <c r="B23" i="8"/>
  <c r="C23" i="8" s="1"/>
  <c r="D23" i="8" s="1"/>
  <c r="F23" i="8" s="1"/>
  <c r="B24" i="8" l="1"/>
  <c r="C24" i="8" s="1"/>
  <c r="J13" i="8" s="1"/>
  <c r="P13" i="8" s="1"/>
  <c r="E37" i="8"/>
  <c r="L14" i="8"/>
  <c r="E38" i="8" l="1"/>
  <c r="D24" i="8"/>
  <c r="K13" i="8" l="1"/>
  <c r="F24" i="8"/>
  <c r="E39" i="8"/>
  <c r="D17" i="10" l="1"/>
  <c r="D18" i="10" s="1"/>
  <c r="D19" i="10" s="1"/>
  <c r="B25" i="8"/>
  <c r="C25" i="8" s="1"/>
  <c r="E40" i="8"/>
  <c r="P14" i="8"/>
  <c r="M13" i="8"/>
  <c r="I14" i="8" s="1"/>
  <c r="D27" i="10" l="1"/>
  <c r="E41" i="8"/>
  <c r="P15" i="8"/>
  <c r="D25" i="8"/>
  <c r="F25" i="8" l="1"/>
  <c r="E42" i="8"/>
  <c r="E43" i="8" l="1"/>
  <c r="B26" i="8"/>
  <c r="C26" i="8" s="1"/>
  <c r="D26" i="8" l="1"/>
  <c r="E44" i="8"/>
  <c r="E45" i="8" l="1"/>
  <c r="F26" i="8"/>
  <c r="B27" i="8" l="1"/>
  <c r="C27" i="8" s="1"/>
  <c r="E46" i="8"/>
  <c r="E47" i="8" l="1"/>
  <c r="D27" i="8"/>
  <c r="F27" i="8" l="1"/>
  <c r="E48" i="8"/>
  <c r="E49" i="8" l="1"/>
  <c r="L15" i="8"/>
  <c r="B28" i="8"/>
  <c r="C28" i="8" s="1"/>
  <c r="D28" i="8" l="1"/>
  <c r="E50" i="8"/>
  <c r="E51" i="8" l="1"/>
  <c r="F28" i="8"/>
  <c r="E52" i="8" l="1"/>
  <c r="B29" i="8"/>
  <c r="C29" i="8" s="1"/>
  <c r="D29" i="8" l="1"/>
  <c r="E53" i="8"/>
  <c r="E54" i="8" l="1"/>
  <c r="F29" i="8"/>
  <c r="B30" i="8" l="1"/>
  <c r="C30" i="8" s="1"/>
  <c r="D30" i="8" s="1"/>
  <c r="F30" i="8" s="1"/>
  <c r="E55" i="8"/>
  <c r="B31" i="8" l="1"/>
  <c r="C31" i="8" s="1"/>
  <c r="D31" i="8" s="1"/>
  <c r="F31" i="8" s="1"/>
  <c r="E56" i="8"/>
  <c r="B32" i="8" l="1"/>
  <c r="C32" i="8" s="1"/>
  <c r="D32" i="8" s="1"/>
  <c r="F32" i="8" s="1"/>
  <c r="E57" i="8"/>
  <c r="E58" i="8" l="1"/>
  <c r="B33" i="8"/>
  <c r="C33" i="8" s="1"/>
  <c r="D33" i="8" s="1"/>
  <c r="F33" i="8" s="1"/>
  <c r="B34" i="8" l="1"/>
  <c r="C34" i="8" s="1"/>
  <c r="D34" i="8" s="1"/>
  <c r="F34" i="8" s="1"/>
  <c r="E59" i="8"/>
  <c r="B35" i="8" l="1"/>
  <c r="C35" i="8" s="1"/>
  <c r="D35" i="8" s="1"/>
  <c r="F35" i="8" s="1"/>
  <c r="E60" i="8"/>
  <c r="B36" i="8" l="1"/>
  <c r="C36" i="8" s="1"/>
  <c r="J14" i="8" s="1"/>
  <c r="Q13" i="8" s="1"/>
  <c r="E61" i="8"/>
  <c r="L16" i="8"/>
  <c r="E62" i="8" l="1"/>
  <c r="D36" i="8"/>
  <c r="K14" i="8" l="1"/>
  <c r="F36" i="8"/>
  <c r="E63" i="8"/>
  <c r="E17" i="10" l="1"/>
  <c r="E18" i="10" s="1"/>
  <c r="Q14" i="8"/>
  <c r="M14" i="8"/>
  <c r="E64" i="8"/>
  <c r="B37" i="8"/>
  <c r="C37" i="8" s="1"/>
  <c r="Q15" i="8" l="1"/>
  <c r="E27" i="10"/>
  <c r="D37" i="8"/>
  <c r="E65" i="8"/>
  <c r="I15" i="8"/>
  <c r="E66" i="8" l="1"/>
  <c r="F37" i="8"/>
  <c r="B38" i="8" l="1"/>
  <c r="C38" i="8" s="1"/>
  <c r="E67" i="8"/>
  <c r="E68" i="8" l="1"/>
  <c r="D38" i="8"/>
  <c r="F38" i="8" l="1"/>
  <c r="E69" i="8"/>
  <c r="E70" i="8" l="1"/>
  <c r="B39" i="8"/>
  <c r="C39" i="8" s="1"/>
  <c r="E71" i="8" l="1"/>
  <c r="D39" i="8"/>
  <c r="F39" i="8" l="1"/>
  <c r="E72" i="8"/>
  <c r="E73" i="8" l="1"/>
  <c r="L17" i="8"/>
  <c r="B40" i="8"/>
  <c r="C40" i="8" s="1"/>
  <c r="D40" i="8" l="1"/>
  <c r="F40" i="8" l="1"/>
  <c r="B41" i="8" l="1"/>
  <c r="C41" i="8" s="1"/>
  <c r="D41" i="8" l="1"/>
  <c r="F41" i="8" l="1"/>
  <c r="B42" i="8" l="1"/>
  <c r="C42" i="8" s="1"/>
  <c r="D42" i="8" s="1"/>
  <c r="F42" i="8" s="1"/>
  <c r="B43" i="8" l="1"/>
  <c r="C43" i="8" s="1"/>
  <c r="D43" i="8" s="1"/>
  <c r="F43" i="8" s="1"/>
  <c r="B44" i="8" l="1"/>
  <c r="C44" i="8" s="1"/>
  <c r="D44" i="8" s="1"/>
  <c r="F44" i="8" s="1"/>
  <c r="B45" i="8" l="1"/>
  <c r="C45" i="8" s="1"/>
  <c r="D45" i="8" s="1"/>
  <c r="F45" i="8" s="1"/>
  <c r="B46" i="8" l="1"/>
  <c r="C46" i="8" s="1"/>
  <c r="D46" i="8" s="1"/>
  <c r="F46" i="8" s="1"/>
  <c r="B47" i="8" l="1"/>
  <c r="C47" i="8" s="1"/>
  <c r="D47" i="8" s="1"/>
  <c r="F47" i="8" s="1"/>
  <c r="B48" i="8" l="1"/>
  <c r="C48" i="8" s="1"/>
  <c r="D48" i="8" l="1"/>
  <c r="J15" i="8"/>
  <c r="R13" i="8" l="1"/>
  <c r="K15" i="8"/>
  <c r="F48" i="8"/>
  <c r="F17" i="10" l="1"/>
  <c r="F18" i="10" s="1"/>
  <c r="R14" i="8"/>
  <c r="M15" i="8"/>
  <c r="B49" i="8"/>
  <c r="C49" i="8" s="1"/>
  <c r="R15" i="8" l="1"/>
  <c r="F27" i="10"/>
  <c r="D49" i="8"/>
  <c r="I16" i="8"/>
  <c r="F49" i="8" l="1"/>
  <c r="B50" i="8" l="1"/>
  <c r="C50" i="8" s="1"/>
  <c r="D50" i="8" l="1"/>
  <c r="F50" i="8" l="1"/>
  <c r="B51" i="8" l="1"/>
  <c r="C51" i="8" s="1"/>
  <c r="D51" i="8" l="1"/>
  <c r="F51" i="8" l="1"/>
  <c r="B52" i="8" l="1"/>
  <c r="C52" i="8" s="1"/>
  <c r="D52" i="8" l="1"/>
  <c r="F52" i="8" l="1"/>
  <c r="B53" i="8" l="1"/>
  <c r="C53" i="8" s="1"/>
  <c r="D53" i="8" l="1"/>
  <c r="F53" i="8" l="1"/>
  <c r="B54" i="8" l="1"/>
  <c r="C54" i="8" s="1"/>
  <c r="D54" i="8" s="1"/>
  <c r="F54" i="8" s="1"/>
  <c r="B55" i="8" l="1"/>
  <c r="C55" i="8" s="1"/>
  <c r="D55" i="8" s="1"/>
  <c r="F55" i="8" s="1"/>
  <c r="B56" i="8" l="1"/>
  <c r="C56" i="8" s="1"/>
  <c r="D56" i="8" s="1"/>
  <c r="F56" i="8" s="1"/>
  <c r="B57" i="8" l="1"/>
  <c r="C57" i="8" s="1"/>
  <c r="D57" i="8" s="1"/>
  <c r="F57" i="8" s="1"/>
  <c r="B58" i="8" l="1"/>
  <c r="C58" i="8" s="1"/>
  <c r="D58" i="8" s="1"/>
  <c r="F58" i="8" s="1"/>
  <c r="B59" i="8" l="1"/>
  <c r="C59" i="8" s="1"/>
  <c r="D59" i="8" s="1"/>
  <c r="F59" i="8" s="1"/>
  <c r="B60" i="8" l="1"/>
  <c r="C60" i="8" s="1"/>
  <c r="D60" i="8" l="1"/>
  <c r="J16" i="8"/>
  <c r="S13" i="8" l="1"/>
  <c r="K16" i="8"/>
  <c r="F60" i="8"/>
  <c r="G17" i="10" l="1"/>
  <c r="G18" i="10" s="1"/>
  <c r="B61" i="8"/>
  <c r="C61" i="8" s="1"/>
  <c r="S14" i="8"/>
  <c r="M16" i="8"/>
  <c r="S15" i="8" l="1"/>
  <c r="G27" i="10"/>
  <c r="I17" i="8"/>
  <c r="D61" i="8"/>
  <c r="F61" i="8" l="1"/>
  <c r="B62" i="8" l="1"/>
  <c r="C62" i="8" s="1"/>
  <c r="D62" i="8" l="1"/>
  <c r="F62" i="8" l="1"/>
  <c r="B63" i="8" l="1"/>
  <c r="C63" i="8" s="1"/>
  <c r="D63" i="8" l="1"/>
  <c r="F63" i="8" l="1"/>
  <c r="B64" i="8" l="1"/>
  <c r="C64" i="8" s="1"/>
  <c r="D64" i="8" l="1"/>
  <c r="F64" i="8" l="1"/>
  <c r="B65" i="8" l="1"/>
  <c r="C65" i="8" s="1"/>
  <c r="D65" i="8" l="1"/>
  <c r="F65" i="8" l="1"/>
  <c r="B66" i="8" l="1"/>
  <c r="C66" i="8" s="1"/>
  <c r="D66" i="8" s="1"/>
  <c r="F66" i="8" s="1"/>
  <c r="B67" i="8" l="1"/>
  <c r="C67" i="8" s="1"/>
  <c r="D67" i="8" s="1"/>
  <c r="F67" i="8" s="1"/>
  <c r="B68" i="8" l="1"/>
  <c r="C68" i="8" s="1"/>
  <c r="D68" i="8" s="1"/>
  <c r="F68" i="8" s="1"/>
  <c r="B69" i="8" l="1"/>
  <c r="C69" i="8" s="1"/>
  <c r="D69" i="8" s="1"/>
  <c r="F69" i="8" s="1"/>
  <c r="B70" i="8" l="1"/>
  <c r="C70" i="8" s="1"/>
  <c r="D70" i="8" s="1"/>
  <c r="F70" i="8" s="1"/>
  <c r="B71" i="8" l="1"/>
  <c r="C71" i="8" s="1"/>
  <c r="D71" i="8" s="1"/>
  <c r="F71" i="8" s="1"/>
  <c r="B72" i="8" l="1"/>
  <c r="C72" i="8" l="1"/>
  <c r="C73" i="8" s="1"/>
  <c r="D72" i="8" l="1"/>
  <c r="J17" i="8"/>
  <c r="J18" i="8" s="1"/>
  <c r="T13" i="8" l="1"/>
  <c r="D73" i="8"/>
  <c r="K17" i="8"/>
  <c r="K18" i="8" s="1"/>
  <c r="F72" i="8"/>
  <c r="H17" i="10" l="1"/>
  <c r="H18" i="10" s="1"/>
  <c r="T14" i="8"/>
  <c r="M17" i="8"/>
  <c r="U13" i="8"/>
  <c r="U14" i="8" l="1"/>
  <c r="U15" i="8" s="1"/>
  <c r="H27" i="10"/>
  <c r="T15" i="8"/>
  <c r="B9" i="3"/>
  <c r="C7" i="3"/>
  <c r="F7" i="3" l="1"/>
  <c r="F9" i="3" s="1"/>
  <c r="E16" i="10" s="1"/>
  <c r="C9" i="3"/>
  <c r="H7" i="3"/>
  <c r="H9" i="3" s="1"/>
  <c r="G16" i="10" s="1"/>
  <c r="E7" i="3"/>
  <c r="G7" i="3"/>
  <c r="G9" i="3" s="1"/>
  <c r="F16" i="10" s="1"/>
  <c r="I7" i="3"/>
  <c r="I9" i="3" s="1"/>
  <c r="H16" i="10" s="1"/>
  <c r="F22" i="10" l="1"/>
  <c r="E9" i="3"/>
  <c r="D16" i="10" s="1"/>
  <c r="J7" i="3"/>
  <c r="J9" i="3" s="1"/>
  <c r="H22" i="10"/>
  <c r="G22" i="10"/>
  <c r="E22" i="10"/>
  <c r="G19" i="10" l="1"/>
  <c r="G20" i="10" s="1"/>
  <c r="G28" i="10" s="1"/>
  <c r="H19" i="10"/>
  <c r="H20" i="10" s="1"/>
  <c r="H28" i="10" s="1"/>
  <c r="D22" i="10"/>
  <c r="E19" i="10"/>
  <c r="E20" i="10" s="1"/>
  <c r="E28" i="10" s="1"/>
  <c r="F19" i="10"/>
  <c r="F20" i="10" s="1"/>
  <c r="F28" i="10" s="1"/>
  <c r="F32" i="10" l="1"/>
  <c r="F34" i="10"/>
  <c r="F37" i="10" s="1"/>
  <c r="H34" i="10"/>
  <c r="H37" i="10" s="1"/>
  <c r="H32" i="10"/>
  <c r="G34" i="10"/>
  <c r="G37" i="10" s="1"/>
  <c r="G32" i="10"/>
  <c r="E34" i="10"/>
  <c r="E37" i="10" s="1"/>
  <c r="E32" i="10"/>
  <c r="D20" i="10"/>
  <c r="J19" i="10" s="1"/>
  <c r="D28" i="10" l="1"/>
  <c r="B36" i="10" s="1"/>
  <c r="D29" i="10" l="1"/>
  <c r="E29" i="10" s="1"/>
  <c r="F29" i="10" s="1"/>
  <c r="G29" i="10" s="1"/>
  <c r="H29" i="10" s="1"/>
  <c r="D32" i="10"/>
  <c r="D37" i="10" l="1"/>
  <c r="B37" i="10" s="1"/>
  <c r="D35" i="10"/>
  <c r="E35" i="10" l="1"/>
  <c r="F35" i="10" s="1"/>
  <c r="G35" i="10" s="1"/>
  <c r="H35" i="10" s="1"/>
  <c r="B38" i="10"/>
</calcChain>
</file>

<file path=xl/sharedStrings.xml><?xml version="1.0" encoding="utf-8"?>
<sst xmlns="http://schemas.openxmlformats.org/spreadsheetml/2006/main" count="279" uniqueCount="181">
  <si>
    <t>Concepto</t>
  </si>
  <si>
    <t>Valor</t>
  </si>
  <si>
    <t>Descripción</t>
  </si>
  <si>
    <t>Hectáreas</t>
  </si>
  <si>
    <t>Área total del proyecto</t>
  </si>
  <si>
    <t>Rendimiento (t/ha)</t>
  </si>
  <si>
    <t>Toneladas por hectárea</t>
  </si>
  <si>
    <t>Precio venta (USD/t)</t>
  </si>
  <si>
    <t>Precio promedio de mercado</t>
  </si>
  <si>
    <t>Tasa interés crédito</t>
  </si>
  <si>
    <t>Anual</t>
  </si>
  <si>
    <t>Plazo crédito (años)</t>
  </si>
  <si>
    <t>Plazo amortización</t>
  </si>
  <si>
    <t>Inversión equipos</t>
  </si>
  <si>
    <t>Equipos y herramientas</t>
  </si>
  <si>
    <t>Vida útil equipos (años)</t>
  </si>
  <si>
    <t>Para depreciación</t>
  </si>
  <si>
    <t>Rubro</t>
  </si>
  <si>
    <t>Costo por ha</t>
  </si>
  <si>
    <t>Total</t>
  </si>
  <si>
    <t>Insumos</t>
  </si>
  <si>
    <t>Mano de obra</t>
  </si>
  <si>
    <t>Maquinaria</t>
  </si>
  <si>
    <t>Preparación</t>
  </si>
  <si>
    <t>Total variables</t>
  </si>
  <si>
    <t>Gastos fijos</t>
  </si>
  <si>
    <t>Costo total anual</t>
  </si>
  <si>
    <t>Activo</t>
  </si>
  <si>
    <t>Monto</t>
  </si>
  <si>
    <t>Depreciación anual</t>
  </si>
  <si>
    <t>Infraestructura básica</t>
  </si>
  <si>
    <t>Total inversión</t>
  </si>
  <si>
    <t>Depreciación</t>
  </si>
  <si>
    <t>Intereses</t>
  </si>
  <si>
    <t>Año 1</t>
  </si>
  <si>
    <t>Año 2</t>
  </si>
  <si>
    <t>Año 3</t>
  </si>
  <si>
    <t>Año 4</t>
  </si>
  <si>
    <t>Año 5</t>
  </si>
  <si>
    <t>Valor Residual</t>
  </si>
  <si>
    <t>Cuadro #3</t>
  </si>
  <si>
    <t>Detalle Costos Financieros  - Atención Deuda</t>
  </si>
  <si>
    <t>Cifras en Dólares (US$)</t>
  </si>
  <si>
    <t>Monto solicitado (USD)</t>
  </si>
  <si>
    <t>Tasa interés anual</t>
  </si>
  <si>
    <t>Plazo (meses)</t>
  </si>
  <si>
    <t>Interés mensual (USD)</t>
  </si>
  <si>
    <t>Periodo</t>
  </si>
  <si>
    <t>Saldo Inicial</t>
  </si>
  <si>
    <t>Interés</t>
  </si>
  <si>
    <t>Amortización</t>
  </si>
  <si>
    <t>Cuota</t>
  </si>
  <si>
    <t>Saldo Final</t>
  </si>
  <si>
    <t>Costa Rica</t>
  </si>
  <si>
    <t>Exportaciones de Yuca</t>
  </si>
  <si>
    <t>En toneladas y miles de US$ (Valor FOB)</t>
  </si>
  <si>
    <t>Año</t>
  </si>
  <si>
    <t>2020</t>
  </si>
  <si>
    <t>2021</t>
  </si>
  <si>
    <t>2022</t>
  </si>
  <si>
    <t>2023</t>
  </si>
  <si>
    <t>2024</t>
  </si>
  <si>
    <t>REGION</t>
  </si>
  <si>
    <t>PAIS</t>
  </si>
  <si>
    <t>DESCRIPCIÓN PRODUCTO</t>
  </si>
  <si>
    <t>2025*</t>
  </si>
  <si>
    <t>TM</t>
  </si>
  <si>
    <t>Miles US$</t>
  </si>
  <si>
    <t>América Central</t>
  </si>
  <si>
    <t>América del Norte</t>
  </si>
  <si>
    <t>América del Sur</t>
  </si>
  <si>
    <t>Asia</t>
  </si>
  <si>
    <t>Caribe</t>
  </si>
  <si>
    <t>Medio Oriente</t>
  </si>
  <si>
    <t>Otros</t>
  </si>
  <si>
    <t>Resto de Europa</t>
  </si>
  <si>
    <t>Unión Europea</t>
  </si>
  <si>
    <t>Grand Total</t>
  </si>
  <si>
    <t>Gran Total</t>
  </si>
  <si>
    <t>Precio Promedio Tonelada</t>
  </si>
  <si>
    <t>Fuente:</t>
  </si>
  <si>
    <t>Procomer (https://servicios.procomer.go.cr/PortalEstadistico/)</t>
  </si>
  <si>
    <t>Promedio</t>
  </si>
  <si>
    <t>Ventas Anuales Miles de US$ (FOB)</t>
  </si>
  <si>
    <t>Toneladas</t>
  </si>
  <si>
    <t>Precio Promedio Kilo</t>
  </si>
  <si>
    <t>Desviación Estándar</t>
  </si>
  <si>
    <t>Cuadro #4</t>
  </si>
  <si>
    <t>Flujo de Caja</t>
  </si>
  <si>
    <t>Ingresos (USD)</t>
  </si>
  <si>
    <t>Costos variables (USD)</t>
  </si>
  <si>
    <t>Costos fijos (USD)</t>
  </si>
  <si>
    <t>Total Costos de Producción (USD)</t>
  </si>
  <si>
    <t>Costos Financieros (USD)</t>
  </si>
  <si>
    <t>Utilidad Antes de Impuestos (USD)</t>
  </si>
  <si>
    <t>Impuestos</t>
  </si>
  <si>
    <t>Utilidad (perdida) Neta</t>
  </si>
  <si>
    <t>Más</t>
  </si>
  <si>
    <t>Credito</t>
  </si>
  <si>
    <t>Menos</t>
  </si>
  <si>
    <t>Inversión Inicial</t>
  </si>
  <si>
    <t>Atención Deuda</t>
  </si>
  <si>
    <t>Flujo Caja Anual</t>
  </si>
  <si>
    <t>Flujo Caja Acumulado</t>
  </si>
  <si>
    <t>Variables Financieras</t>
  </si>
  <si>
    <t>Flujo Caja Inversión</t>
  </si>
  <si>
    <t>Flujo Caja Proyecto</t>
  </si>
  <si>
    <t>Flujo Caja Acumulado Proyecto</t>
  </si>
  <si>
    <t>TIR</t>
  </si>
  <si>
    <t>VAN del Proyecto</t>
  </si>
  <si>
    <t>Payback</t>
  </si>
  <si>
    <t>Tasa de Descuento</t>
  </si>
  <si>
    <t>Producción (tm)</t>
  </si>
  <si>
    <t>Precio (USD/tm)</t>
  </si>
  <si>
    <t>Cantidad por ha</t>
  </si>
  <si>
    <t>Unidad</t>
  </si>
  <si>
    <t>Costo unitario (USD)</t>
  </si>
  <si>
    <t>Costo por ha (USD)</t>
  </si>
  <si>
    <t>Semilla certificada</t>
  </si>
  <si>
    <t>kg</t>
  </si>
  <si>
    <t>Fertilizantes (mezcla)</t>
  </si>
  <si>
    <t>Urea</t>
  </si>
  <si>
    <t>Cal agrícola</t>
  </si>
  <si>
    <t>Insecticida</t>
  </si>
  <si>
    <t>L</t>
  </si>
  <si>
    <t>Fungicida</t>
  </si>
  <si>
    <t>Herbicida</t>
  </si>
  <si>
    <t>Mano obra — Siembra</t>
  </si>
  <si>
    <t>jornal</t>
  </si>
  <si>
    <t>Mano obra — Fertilización</t>
  </si>
  <si>
    <t>Mano obra — Aplicación agroq.</t>
  </si>
  <si>
    <t>Mano obra — Deshierbe</t>
  </si>
  <si>
    <t>Mano obra — Cosecha</t>
  </si>
  <si>
    <t>Maquinaria — Prep. suelo</t>
  </si>
  <si>
    <t>h</t>
  </si>
  <si>
    <t>Maquinaria — Labranza sec.</t>
  </si>
  <si>
    <t>Maquinaria — Cosecha mec.</t>
  </si>
  <si>
    <t>Transporte interno a planta</t>
  </si>
  <si>
    <t>ton</t>
  </si>
  <si>
    <t>Análisis de suelo</t>
  </si>
  <si>
    <t>servicio</t>
  </si>
  <si>
    <t>Costos directos por ha (insumos, mano de obra, maquinaria, transporte interno)</t>
  </si>
  <si>
    <t>Se calcula por tonelada:</t>
  </si>
  <si>
    <t>Lavado y selección</t>
  </si>
  <si>
    <t>De producción total</t>
  </si>
  <si>
    <t>Costo Total (USD)</t>
  </si>
  <si>
    <t>Transporte interno</t>
  </si>
  <si>
    <t>Empaque (materiales, cajas, paletizado, mano de obra)</t>
  </si>
  <si>
    <t>Gastos administrativos, certificaciones y seguros (por ha)</t>
  </si>
  <si>
    <t>Suma = 300 + 150 + 200 + 50 = 700.00 USD/ha</t>
  </si>
  <si>
    <t>USD/ha</t>
  </si>
  <si>
    <t>Certificaciones y fitosanitarios (GLOBALGAP, certificado fitosanitario, auditorías)</t>
  </si>
  <si>
    <t>Flete interno y logística de planta a puerto (antes del embarque)</t>
  </si>
  <si>
    <t>Seguro cosecha / riesgos</t>
  </si>
  <si>
    <t>Costos fijos (USD) Cultivo</t>
  </si>
  <si>
    <t>Costos fijos (USD) Administración</t>
  </si>
  <si>
    <t>Cuadro #1</t>
  </si>
  <si>
    <t>Cuadro #2</t>
  </si>
  <si>
    <t>Depreciaciones</t>
  </si>
  <si>
    <t>Supuestos</t>
  </si>
  <si>
    <t>Merma (perdida Campo + Empaque)</t>
  </si>
  <si>
    <t>Gastos administrativos fijos (proporcionalizados)</t>
  </si>
  <si>
    <t xml:space="preserve">Costos Producción </t>
  </si>
  <si>
    <t>Postcosecha y empaque (crítico para exportación)</t>
  </si>
  <si>
    <t>Secado/procesos postcosecha</t>
  </si>
  <si>
    <t>Total postcosecha</t>
  </si>
  <si>
    <t>Total Gastos administrativos, certificaciones y seguros (por ha)</t>
  </si>
  <si>
    <t>Inversión Equipo y Depreciación</t>
  </si>
  <si>
    <t>Cuadro #5</t>
  </si>
  <si>
    <t>Imprevistos (10%)</t>
  </si>
  <si>
    <t>Avío Yuca</t>
  </si>
  <si>
    <t>Área (ha)</t>
  </si>
  <si>
    <t>Pago mensual (USD)</t>
  </si>
  <si>
    <t>(COL)</t>
  </si>
  <si>
    <t>Tipo de cambio 26/01</t>
  </si>
  <si>
    <t>El tipo de cambio para actualizar el costo de los insumos en dólares fue el de venta para el 26 de enero de 2026, de ₡500,22.</t>
  </si>
  <si>
    <t xml:space="preserve">Semilla </t>
  </si>
  <si>
    <t>40 colones la unidad según INTA</t>
  </si>
  <si>
    <t xml:space="preserve">Según un estudio técnico 10000 semillas son equivalentes a 700 kg. </t>
  </si>
  <si>
    <t xml:space="preserve">1 semilla esquivale a 0,07 kg. </t>
  </si>
  <si>
    <t>col/kg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</si>
</sst>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#,##0;\(#,##0\)"/>
    <numFmt numFmtId="167" formatCode="0.0%"/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43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1" applyNumberFormat="1" applyFont="1"/>
    <xf numFmtId="9" fontId="0" fillId="0" borderId="0" xfId="2" applyFont="1"/>
    <xf numFmtId="164" fontId="0" fillId="0" borderId="2" xfId="1" applyNumberFormat="1" applyFont="1" applyBorder="1"/>
    <xf numFmtId="164" fontId="0" fillId="0" borderId="0" xfId="0" applyNumberFormat="1"/>
    <xf numFmtId="164" fontId="0" fillId="0" borderId="2" xfId="0" applyNumberFormat="1" applyBorder="1"/>
    <xf numFmtId="164" fontId="0" fillId="0" borderId="1" xfId="1" applyNumberFormat="1" applyFont="1" applyBorder="1"/>
    <xf numFmtId="43" fontId="0" fillId="0" borderId="0" xfId="0" applyNumberFormat="1"/>
    <xf numFmtId="165" fontId="0" fillId="0" borderId="0" xfId="0" applyNumberFormat="1"/>
    <xf numFmtId="43" fontId="0" fillId="0" borderId="0" xfId="2" applyNumberFormat="1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0" fillId="0" borderId="2" xfId="0" applyBorder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left" vertical="top" wrapText="1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2" fontId="4" fillId="0" borderId="4" xfId="0" applyNumberFormat="1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 applyProtection="1">
      <alignment horizontal="right" vertical="center" wrapText="1"/>
      <protection locked="0"/>
    </xf>
    <xf numFmtId="2" fontId="4" fillId="0" borderId="4" xfId="0" applyNumberFormat="1" applyFont="1" applyBorder="1" applyAlignment="1">
      <alignment horizontal="right" vertical="center" wrapText="1"/>
    </xf>
    <xf numFmtId="43" fontId="4" fillId="0" borderId="4" xfId="1" applyFont="1" applyFill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/>
    <xf numFmtId="164" fontId="4" fillId="0" borderId="1" xfId="1" applyNumberFormat="1" applyFont="1" applyFill="1" applyBorder="1" applyAlignment="1" applyProtection="1">
      <alignment horizontal="center"/>
      <protection locked="0"/>
    </xf>
    <xf numFmtId="2" fontId="4" fillId="0" borderId="10" xfId="0" applyNumberFormat="1" applyFont="1" applyBorder="1"/>
    <xf numFmtId="164" fontId="4" fillId="0" borderId="10" xfId="1" applyNumberFormat="1" applyFont="1" applyFill="1" applyBorder="1" applyProtection="1">
      <protection locked="0"/>
    </xf>
    <xf numFmtId="164" fontId="4" fillId="0" borderId="0" xfId="1" applyNumberFormat="1" applyFont="1" applyFill="1"/>
    <xf numFmtId="164" fontId="4" fillId="0" borderId="0" xfId="1" applyNumberFormat="1" applyFont="1" applyFill="1" applyBorder="1" applyProtection="1">
      <protection locked="0"/>
    </xf>
    <xf numFmtId="2" fontId="4" fillId="0" borderId="3" xfId="0" applyNumberFormat="1" applyFont="1" applyBorder="1"/>
    <xf numFmtId="164" fontId="4" fillId="0" borderId="3" xfId="1" applyNumberFormat="1" applyFont="1" applyFill="1" applyBorder="1" applyProtection="1">
      <protection locked="0"/>
    </xf>
    <xf numFmtId="2" fontId="4" fillId="0" borderId="2" xfId="0" applyNumberFormat="1" applyFont="1" applyBorder="1"/>
    <xf numFmtId="43" fontId="4" fillId="0" borderId="2" xfId="1" applyFont="1" applyFill="1" applyBorder="1"/>
    <xf numFmtId="2" fontId="4" fillId="0" borderId="11" xfId="0" applyNumberFormat="1" applyFont="1" applyBorder="1"/>
    <xf numFmtId="0" fontId="4" fillId="0" borderId="0" xfId="0" applyFont="1"/>
    <xf numFmtId="166" fontId="0" fillId="0" borderId="0" xfId="0" applyNumberFormat="1"/>
    <xf numFmtId="166" fontId="0" fillId="0" borderId="0" xfId="1" applyNumberFormat="1" applyFont="1"/>
    <xf numFmtId="166" fontId="0" fillId="0" borderId="1" xfId="0" applyNumberFormat="1" applyBorder="1"/>
    <xf numFmtId="166" fontId="0" fillId="0" borderId="1" xfId="1" applyNumberFormat="1" applyFont="1" applyBorder="1"/>
    <xf numFmtId="166" fontId="0" fillId="0" borderId="0" xfId="1" applyNumberFormat="1" applyFont="1" applyBorder="1"/>
    <xf numFmtId="166" fontId="0" fillId="0" borderId="2" xfId="0" applyNumberFormat="1" applyBorder="1"/>
    <xf numFmtId="166" fontId="0" fillId="0" borderId="2" xfId="1" applyNumberFormat="1" applyFont="1" applyBorder="1"/>
    <xf numFmtId="0" fontId="2" fillId="0" borderId="0" xfId="0" applyFont="1"/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164" fontId="5" fillId="0" borderId="0" xfId="1" applyNumberFormat="1" applyFont="1"/>
    <xf numFmtId="164" fontId="5" fillId="0" borderId="1" xfId="1" applyNumberFormat="1" applyFont="1" applyBorder="1"/>
    <xf numFmtId="0" fontId="5" fillId="0" borderId="2" xfId="0" applyFont="1" applyBorder="1"/>
    <xf numFmtId="164" fontId="5" fillId="0" borderId="2" xfId="1" applyNumberFormat="1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43" fontId="5" fillId="0" borderId="0" xfId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0" fillId="0" borderId="0" xfId="1" applyNumberFormat="1" applyFont="1" applyBorder="1"/>
    <xf numFmtId="9" fontId="0" fillId="0" borderId="0" xfId="0" applyNumberFormat="1" applyAlignment="1">
      <alignment vertical="center"/>
    </xf>
    <xf numFmtId="2" fontId="5" fillId="0" borderId="0" xfId="0" applyNumberFormat="1" applyFont="1"/>
    <xf numFmtId="164" fontId="5" fillId="0" borderId="0" xfId="1" applyNumberFormat="1" applyFont="1" applyFill="1"/>
    <xf numFmtId="43" fontId="5" fillId="0" borderId="0" xfId="1" applyFont="1" applyFill="1"/>
    <xf numFmtId="164" fontId="5" fillId="0" borderId="0" xfId="1" applyNumberFormat="1" applyFont="1" applyBorder="1"/>
    <xf numFmtId="164" fontId="5" fillId="0" borderId="0" xfId="1" applyNumberFormat="1" applyFont="1" applyFill="1" applyBorder="1"/>
    <xf numFmtId="0" fontId="4" fillId="0" borderId="1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5" fillId="0" borderId="0" xfId="0" applyFont="1" applyAlignment="1">
      <alignment horizontal="center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43" fontId="4" fillId="0" borderId="4" xfId="1" applyNumberFormat="1" applyFont="1" applyFill="1" applyBorder="1" applyAlignment="1" applyProtection="1">
      <alignment horizontal="righ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'Estadisticas Procomer'!$B$23:$G$23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'Estadisticas Procomer'!$B$27:$G$27</c:f>
              <c:numCache>
                <c:formatCode>0.00</c:formatCode>
                <c:ptCount val="6"/>
                <c:pt idx="0">
                  <c:v>0.74360022145605442</c:v>
                </c:pt>
                <c:pt idx="1">
                  <c:v>0.77515600990122457</c:v>
                </c:pt>
                <c:pt idx="2">
                  <c:v>1.4795009380128641</c:v>
                </c:pt>
                <c:pt idx="3">
                  <c:v>1.280490470354408</c:v>
                </c:pt>
                <c:pt idx="4">
                  <c:v>1.1037633449973729</c:v>
                </c:pt>
                <c:pt idx="5">
                  <c:v>1.5454759189300096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0-4774-AF54-B1EE490A7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798224"/>
        <c:axId val="1524796304"/>
      </c:lineChart>
      <c:catAx>
        <c:axId val="1524798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24796304"/>
        <c:crosses val="autoZero"/>
        <c:auto val="1"/>
        <c:lblAlgn val="ctr"/>
        <c:lblOffset val="100"/>
        <c:noMultiLvlLbl val="0"/>
      </c:catAx>
      <c:valAx>
        <c:axId val="152479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Precio</a:t>
                </a:r>
                <a:r>
                  <a:rPr lang="es-CR" baseline="0"/>
                  <a:t> US$/Kilos</a:t>
                </a:r>
                <a:endParaRPr lang="es-C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247982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208558</xdr:colOff>
      <xdr:row>8</xdr:row>
      <xdr:rowOff>95274</xdr:rowOff>
    </xdr:from>
    <xdr:to>
      <xdr:col>14</xdr:col>
      <xdr:colOff>539828</xdr:colOff>
      <xdr:row>14</xdr:row>
      <xdr:rowOff>176995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F67BB-C1CD-45F3-BF1C-E45D43C64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9778" y="1582103"/>
          <a:ext cx="5271879" cy="1196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82550</xdr:rowOff>
    </xdr:from>
    <xdr:to>
      <xdr:col>8</xdr:col>
      <xdr:colOff>15876</xdr:colOff>
      <xdr:row>38</xdr:row>
      <xdr:rowOff>127000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7FC05B-FE7E-5335-8624-B9527562E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showGridLines="0" workbookViewId="0">
      <selection activeCell="B9" sqref="B9"/>
    </sheetView>
  </sheetViews>
  <sheetFormatPr baseColWidth="10" defaultColWidth="8.90625" defaultRowHeight="14.5" x14ac:dyDescent="0.35"/>
  <cols>
    <col min="1" max="1" width="27.54296875" customWidth="1"/>
    <col min="2" max="2" width="6" customWidth="1"/>
    <col min="3" max="3" width="24.81640625" bestFit="1" customWidth="1"/>
  </cols>
  <sheetData>
    <row r="1" spans="1:3" x14ac:dyDescent="0.35">
      <c r="A1" s="49" t="s">
        <v>156</v>
      </c>
    </row>
    <row r="2" spans="1:3" x14ac:dyDescent="0.35">
      <c r="A2" t="s">
        <v>170</v>
      </c>
    </row>
    <row r="3" spans="1:3" x14ac:dyDescent="0.35">
      <c r="A3" t="s">
        <v>159</v>
      </c>
    </row>
    <row r="4" spans="1:3" x14ac:dyDescent="0.35">
      <c r="A4" t="s">
        <v>42</v>
      </c>
    </row>
    <row r="6" spans="1:3" x14ac:dyDescent="0.35">
      <c r="A6" s="2" t="s">
        <v>0</v>
      </c>
      <c r="B6" s="2" t="s">
        <v>1</v>
      </c>
      <c r="C6" s="2" t="s">
        <v>2</v>
      </c>
    </row>
    <row r="7" spans="1:3" x14ac:dyDescent="0.35">
      <c r="A7" t="s">
        <v>3</v>
      </c>
      <c r="B7">
        <v>10</v>
      </c>
      <c r="C7" t="s">
        <v>4</v>
      </c>
    </row>
    <row r="8" spans="1:3" x14ac:dyDescent="0.35">
      <c r="A8" t="s">
        <v>5</v>
      </c>
      <c r="B8">
        <v>28</v>
      </c>
      <c r="C8" t="s">
        <v>6</v>
      </c>
    </row>
    <row r="9" spans="1:3" x14ac:dyDescent="0.35">
      <c r="A9" t="s">
        <v>7</v>
      </c>
      <c r="B9">
        <f>'Estadisticas Procomer'!H26</f>
        <v>1156.9926146178966</v>
      </c>
      <c r="C9" t="s">
        <v>8</v>
      </c>
    </row>
    <row r="10" spans="1:3" ht="29" x14ac:dyDescent="0.35">
      <c r="A10" s="15" t="s">
        <v>160</v>
      </c>
      <c r="B10" s="74">
        <v>0.2</v>
      </c>
      <c r="C10" s="62" t="s">
        <v>144</v>
      </c>
    </row>
    <row r="11" spans="1:3" x14ac:dyDescent="0.35">
      <c r="A11" t="s">
        <v>9</v>
      </c>
      <c r="B11" s="6">
        <v>0.12</v>
      </c>
      <c r="C11" t="s">
        <v>10</v>
      </c>
    </row>
    <row r="12" spans="1:3" x14ac:dyDescent="0.35">
      <c r="A12" t="s">
        <v>11</v>
      </c>
      <c r="B12">
        <v>5</v>
      </c>
      <c r="C12" t="s">
        <v>12</v>
      </c>
    </row>
    <row r="13" spans="1:3" x14ac:dyDescent="0.35">
      <c r="A13" t="s">
        <v>13</v>
      </c>
      <c r="B13">
        <f>'Inversión Equipo e Infraestruct'!B9</f>
        <v>11000</v>
      </c>
      <c r="C13" t="s">
        <v>14</v>
      </c>
    </row>
    <row r="14" spans="1:3" x14ac:dyDescent="0.35">
      <c r="A14" s="4" t="s">
        <v>15</v>
      </c>
      <c r="B14" s="4">
        <v>5</v>
      </c>
      <c r="C14" s="4" t="s">
        <v>16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9"/>
  <sheetViews>
    <sheetView showGridLines="0" zoomScale="58" workbookViewId="0">
      <selection activeCell="P30" sqref="P30"/>
    </sheetView>
  </sheetViews>
  <sheetFormatPr baseColWidth="10" defaultColWidth="8.90625" defaultRowHeight="12.5" x14ac:dyDescent="0.25"/>
  <cols>
    <col min="1" max="1" width="43.81640625" style="55" customWidth="1"/>
    <col min="2" max="2" width="11.54296875" style="55" bestFit="1" customWidth="1"/>
    <col min="3" max="3" width="10.1796875" style="55" bestFit="1" customWidth="1"/>
    <col min="4" max="4" width="19" style="55" customWidth="1"/>
    <col min="5" max="5" width="13.08984375" style="55" customWidth="1"/>
    <col min="6" max="6" width="12.36328125" style="55" customWidth="1"/>
    <col min="7" max="7" width="8.90625" style="55"/>
    <col min="8" max="8" width="13.36328125" style="55" customWidth="1"/>
    <col min="9" max="16384" width="8.90625" style="55"/>
  </cols>
  <sheetData>
    <row r="1" spans="1:10" customFormat="1" ht="14.5" x14ac:dyDescent="0.35">
      <c r="A1" s="49" t="s">
        <v>157</v>
      </c>
    </row>
    <row r="2" spans="1:10" customFormat="1" ht="14.5" x14ac:dyDescent="0.35">
      <c r="A2" t="s">
        <v>170</v>
      </c>
    </row>
    <row r="3" spans="1:10" customFormat="1" ht="14.5" x14ac:dyDescent="0.35">
      <c r="A3" t="s">
        <v>162</v>
      </c>
    </row>
    <row r="4" spans="1:10" customFormat="1" ht="14.5" x14ac:dyDescent="0.35">
      <c r="A4" t="s">
        <v>42</v>
      </c>
      <c r="B4" s="55" t="s">
        <v>174</v>
      </c>
      <c r="C4" s="55">
        <v>500.22</v>
      </c>
    </row>
    <row r="5" spans="1:10" customFormat="1" ht="14.5" x14ac:dyDescent="0.35"/>
    <row r="6" spans="1:10" x14ac:dyDescent="0.25">
      <c r="A6" s="54" t="s">
        <v>17</v>
      </c>
      <c r="B6" s="54" t="s">
        <v>18</v>
      </c>
      <c r="C6" s="54" t="s">
        <v>19</v>
      </c>
    </row>
    <row r="7" spans="1:10" x14ac:dyDescent="0.25">
      <c r="A7" s="55" t="s">
        <v>20</v>
      </c>
      <c r="B7" s="56">
        <f>E20+E21+E22+E23+E24+E25+E26</f>
        <v>906.53607650728918</v>
      </c>
      <c r="C7" s="56">
        <f>B7*Supuestos!$B$7</f>
        <v>9065.3607650728918</v>
      </c>
      <c r="I7" s="78"/>
      <c r="J7" s="78"/>
    </row>
    <row r="8" spans="1:10" x14ac:dyDescent="0.25">
      <c r="A8" s="55" t="s">
        <v>21</v>
      </c>
      <c r="B8" s="56">
        <f>E27+E28+E29+E30+E31</f>
        <v>1616.0222502099073</v>
      </c>
      <c r="C8" s="56">
        <f>B8*Supuestos!$B$7</f>
        <v>16160.222502099074</v>
      </c>
      <c r="I8" s="78"/>
      <c r="J8" s="78"/>
    </row>
    <row r="9" spans="1:10" x14ac:dyDescent="0.25">
      <c r="A9" s="55" t="s">
        <v>22</v>
      </c>
      <c r="B9" s="56">
        <f>E33+E34</f>
        <v>314.65035384430848</v>
      </c>
      <c r="C9" s="56">
        <f>B9*Supuestos!$B$7</f>
        <v>3146.5035384430848</v>
      </c>
      <c r="I9" s="78"/>
      <c r="J9" s="78"/>
    </row>
    <row r="10" spans="1:10" x14ac:dyDescent="0.25">
      <c r="A10" s="55" t="s">
        <v>146</v>
      </c>
      <c r="B10" s="56">
        <f>E35</f>
        <v>144</v>
      </c>
      <c r="C10" s="56">
        <f>B10*Supuestos!$B$7</f>
        <v>1440</v>
      </c>
      <c r="I10" s="78"/>
      <c r="J10" s="78"/>
    </row>
    <row r="11" spans="1:10" x14ac:dyDescent="0.25">
      <c r="A11" s="55" t="s">
        <v>23</v>
      </c>
      <c r="B11" s="56">
        <f>E32+E36</f>
        <v>173.31877973691576</v>
      </c>
      <c r="C11" s="56">
        <f>B11*Supuestos!$B$7</f>
        <v>1733.1877973691576</v>
      </c>
      <c r="I11" s="78"/>
      <c r="J11" s="78"/>
    </row>
    <row r="12" spans="1:10" x14ac:dyDescent="0.25">
      <c r="A12" s="55" t="s">
        <v>169</v>
      </c>
      <c r="B12" s="56">
        <f>SUM(B7:B11)*10%</f>
        <v>315.4527460298421</v>
      </c>
      <c r="C12" s="56">
        <f>B12*Supuestos!$B$7</f>
        <v>3154.5274602984209</v>
      </c>
      <c r="I12" s="78"/>
      <c r="J12" s="78"/>
    </row>
    <row r="13" spans="1:10" x14ac:dyDescent="0.25">
      <c r="A13" s="54" t="s">
        <v>24</v>
      </c>
      <c r="B13" s="57">
        <f>SUM(B7:B12)</f>
        <v>3469.9802063282632</v>
      </c>
      <c r="C13" s="57">
        <f>SUM(C7:C12)</f>
        <v>34699.80206328263</v>
      </c>
      <c r="D13" s="67"/>
      <c r="I13" s="78"/>
      <c r="J13" s="78"/>
    </row>
    <row r="14" spans="1:10" x14ac:dyDescent="0.25">
      <c r="A14" s="55" t="s">
        <v>25</v>
      </c>
      <c r="B14" s="56">
        <f>E56</f>
        <v>750</v>
      </c>
      <c r="C14" s="56">
        <f>B14*Supuestos!B7</f>
        <v>7500</v>
      </c>
      <c r="I14" s="78"/>
      <c r="J14" s="78"/>
    </row>
    <row r="15" spans="1:10" ht="13" thickBot="1" x14ac:dyDescent="0.3">
      <c r="A15" s="58" t="s">
        <v>26</v>
      </c>
      <c r="B15" s="59">
        <f>B13+B14</f>
        <v>4219.9802063282632</v>
      </c>
      <c r="C15" s="59">
        <f>C13+C14</f>
        <v>42199.80206328263</v>
      </c>
      <c r="I15" s="78"/>
      <c r="J15" s="78"/>
    </row>
    <row r="16" spans="1:10" ht="13" thickTop="1" x14ac:dyDescent="0.25"/>
    <row r="17" spans="1:14" x14ac:dyDescent="0.25">
      <c r="A17" s="55" t="s">
        <v>141</v>
      </c>
    </row>
    <row r="18" spans="1:14" x14ac:dyDescent="0.25">
      <c r="G18" s="82"/>
      <c r="H18" s="82"/>
    </row>
    <row r="19" spans="1:14" ht="25" x14ac:dyDescent="0.25">
      <c r="A19" s="65" t="s">
        <v>17</v>
      </c>
      <c r="B19" s="61" t="s">
        <v>114</v>
      </c>
      <c r="C19" s="61" t="s">
        <v>115</v>
      </c>
      <c r="D19" s="60" t="s">
        <v>116</v>
      </c>
      <c r="E19" s="61" t="s">
        <v>117</v>
      </c>
      <c r="F19" s="61" t="s">
        <v>145</v>
      </c>
      <c r="H19" s="69"/>
      <c r="I19" s="69"/>
      <c r="J19" s="68" t="s">
        <v>173</v>
      </c>
      <c r="K19" s="69"/>
      <c r="L19" s="69"/>
      <c r="M19" s="69"/>
    </row>
    <row r="20" spans="1:14" x14ac:dyDescent="0.25">
      <c r="A20" s="55" t="s">
        <v>118</v>
      </c>
      <c r="B20" s="56">
        <v>250</v>
      </c>
      <c r="C20" s="68" t="s">
        <v>119</v>
      </c>
      <c r="D20" s="66">
        <f>+M24/C4</f>
        <v>1.1423545068741179</v>
      </c>
      <c r="E20" s="56">
        <f>B20*D20</f>
        <v>285.5886267185295</v>
      </c>
      <c r="F20" s="67">
        <f>E20*Supuestos!$B$7</f>
        <v>2855.8862671852949</v>
      </c>
      <c r="H20" s="78"/>
      <c r="I20" s="68"/>
      <c r="K20" s="75"/>
      <c r="L20" s="75"/>
      <c r="M20" s="55" t="s">
        <v>176</v>
      </c>
      <c r="N20" s="55" t="s">
        <v>177</v>
      </c>
    </row>
    <row r="21" spans="1:14" x14ac:dyDescent="0.25">
      <c r="A21" s="55" t="s">
        <v>120</v>
      </c>
      <c r="B21" s="56">
        <v>300</v>
      </c>
      <c r="C21" s="68" t="s">
        <v>119</v>
      </c>
      <c r="D21" s="66">
        <v>0.83358877649389818</v>
      </c>
      <c r="E21" s="56">
        <f t="shared" ref="E21:E35" si="0">B21*D21</f>
        <v>250.07663294816945</v>
      </c>
      <c r="F21" s="67">
        <f>E21*Supuestos!$B$7</f>
        <v>2500.7663294816944</v>
      </c>
      <c r="H21" s="78"/>
      <c r="I21" s="68"/>
      <c r="J21" s="75">
        <f>18764/45</f>
        <v>416.97777777777776</v>
      </c>
      <c r="K21" s="75"/>
      <c r="L21" s="75"/>
      <c r="M21" s="75" t="s">
        <v>178</v>
      </c>
    </row>
    <row r="22" spans="1:14" x14ac:dyDescent="0.25">
      <c r="A22" s="55" t="s">
        <v>121</v>
      </c>
      <c r="B22" s="56">
        <v>150</v>
      </c>
      <c r="C22" s="68" t="s">
        <v>119</v>
      </c>
      <c r="D22" s="66">
        <v>0.89267389015499843</v>
      </c>
      <c r="E22" s="56">
        <f t="shared" si="0"/>
        <v>133.90108352324975</v>
      </c>
      <c r="F22" s="67">
        <f>E22*Supuestos!$B$7</f>
        <v>1339.0108352324976</v>
      </c>
      <c r="H22" s="78"/>
      <c r="I22" s="68"/>
      <c r="J22" s="75">
        <f>20094/45</f>
        <v>446.53333333333336</v>
      </c>
      <c r="K22" s="75"/>
      <c r="L22" s="75"/>
      <c r="M22" s="55">
        <f>700/10000</f>
        <v>7.0000000000000007E-2</v>
      </c>
    </row>
    <row r="23" spans="1:14" x14ac:dyDescent="0.25">
      <c r="A23" s="55" t="s">
        <v>122</v>
      </c>
      <c r="B23" s="56">
        <v>200</v>
      </c>
      <c r="C23" s="68" t="s">
        <v>119</v>
      </c>
      <c r="D23" s="66">
        <f>+(70.84)/C4</f>
        <v>0.14161768821718443</v>
      </c>
      <c r="E23" s="56">
        <f t="shared" si="0"/>
        <v>28.323537643436886</v>
      </c>
      <c r="F23" s="67">
        <f>E23*Supuestos!$B$7</f>
        <v>283.23537643436885</v>
      </c>
      <c r="H23" s="78"/>
      <c r="I23" s="68"/>
      <c r="J23" s="75">
        <f>7323/50</f>
        <v>146.46</v>
      </c>
      <c r="K23" s="75"/>
      <c r="L23" s="75"/>
      <c r="M23" s="75" t="s">
        <v>179</v>
      </c>
    </row>
    <row r="24" spans="1:14" x14ac:dyDescent="0.25">
      <c r="A24" s="55" t="s">
        <v>123</v>
      </c>
      <c r="B24" s="76">
        <v>6</v>
      </c>
      <c r="C24" s="68" t="s">
        <v>124</v>
      </c>
      <c r="D24" s="77">
        <v>14.643556834992603</v>
      </c>
      <c r="E24" s="76">
        <f t="shared" si="0"/>
        <v>87.861341009955623</v>
      </c>
      <c r="F24" s="67">
        <f>E24*Supuestos!$B$7</f>
        <v>878.61341009955618</v>
      </c>
      <c r="H24" s="79"/>
      <c r="I24" s="68"/>
      <c r="J24" s="75">
        <v>7325</v>
      </c>
      <c r="K24" s="75"/>
      <c r="L24" s="75"/>
      <c r="M24" s="75">
        <f>40/M22</f>
        <v>571.42857142857133</v>
      </c>
      <c r="N24" s="55" t="s">
        <v>180</v>
      </c>
    </row>
    <row r="25" spans="1:14" x14ac:dyDescent="0.25">
      <c r="A25" s="55" t="s">
        <v>125</v>
      </c>
      <c r="B25" s="76">
        <v>5</v>
      </c>
      <c r="C25" s="68" t="s">
        <v>124</v>
      </c>
      <c r="D25" s="77">
        <v>11.32101875174923</v>
      </c>
      <c r="E25" s="76">
        <f t="shared" si="0"/>
        <v>56.60509375874615</v>
      </c>
      <c r="F25" s="67">
        <f>E25*Supuestos!$B$7</f>
        <v>566.05093758746148</v>
      </c>
      <c r="H25" s="79"/>
      <c r="I25" s="68"/>
      <c r="J25" s="75">
        <v>5663</v>
      </c>
      <c r="K25" s="75"/>
      <c r="L25" s="75"/>
      <c r="M25" s="75"/>
    </row>
    <row r="26" spans="1:14" x14ac:dyDescent="0.25">
      <c r="A26" s="55" t="s">
        <v>126</v>
      </c>
      <c r="B26" s="76">
        <v>8</v>
      </c>
      <c r="C26" s="68" t="s">
        <v>124</v>
      </c>
      <c r="D26" s="77">
        <v>8.022470113150213</v>
      </c>
      <c r="E26" s="76">
        <f t="shared" si="0"/>
        <v>64.179760905201704</v>
      </c>
      <c r="F26" s="67">
        <f>E26*Supuestos!$B$7</f>
        <v>641.79760905201704</v>
      </c>
      <c r="H26" s="79"/>
      <c r="I26" s="68"/>
      <c r="J26" s="75">
        <v>4013</v>
      </c>
      <c r="K26" s="75"/>
      <c r="L26" s="75"/>
      <c r="M26" s="75"/>
    </row>
    <row r="27" spans="1:14" x14ac:dyDescent="0.25">
      <c r="A27" s="55" t="s">
        <v>127</v>
      </c>
      <c r="B27" s="76">
        <v>12</v>
      </c>
      <c r="C27" s="68" t="s">
        <v>128</v>
      </c>
      <c r="D27" s="77">
        <v>24.861880772460101</v>
      </c>
      <c r="E27" s="76">
        <f>B27*D27</f>
        <v>298.34256926952122</v>
      </c>
      <c r="F27" s="67">
        <f>E27*Supuestos!$B$7</f>
        <v>2983.4256926952121</v>
      </c>
      <c r="H27" s="79"/>
      <c r="I27" s="68"/>
      <c r="J27" s="75">
        <v>12436.41</v>
      </c>
      <c r="K27" s="75"/>
      <c r="L27" s="75"/>
      <c r="M27" s="75"/>
    </row>
    <row r="28" spans="1:14" x14ac:dyDescent="0.25">
      <c r="A28" s="55" t="s">
        <v>129</v>
      </c>
      <c r="B28" s="76">
        <v>8</v>
      </c>
      <c r="C28" s="68" t="s">
        <v>128</v>
      </c>
      <c r="D28" s="77">
        <v>24.861880772460115</v>
      </c>
      <c r="E28" s="76">
        <f t="shared" si="0"/>
        <v>198.89504617968092</v>
      </c>
      <c r="F28" s="67">
        <f>E28*Supuestos!$B$7</f>
        <v>1988.9504617968091</v>
      </c>
      <c r="H28" s="79"/>
      <c r="I28" s="68"/>
      <c r="J28" s="75">
        <v>12436.41</v>
      </c>
      <c r="K28" s="75"/>
      <c r="L28" s="75"/>
      <c r="M28" s="75"/>
    </row>
    <row r="29" spans="1:14" x14ac:dyDescent="0.25">
      <c r="A29" s="55" t="s">
        <v>130</v>
      </c>
      <c r="B29" s="76">
        <v>10</v>
      </c>
      <c r="C29" s="68" t="s">
        <v>128</v>
      </c>
      <c r="D29" s="77">
        <v>24.861880772460115</v>
      </c>
      <c r="E29" s="76">
        <f t="shared" si="0"/>
        <v>248.61880772460114</v>
      </c>
      <c r="F29" s="67">
        <f>E29*Supuestos!$B$7</f>
        <v>2486.1880772460113</v>
      </c>
      <c r="H29" s="79"/>
      <c r="I29" s="68"/>
      <c r="J29" s="75">
        <v>12436.41</v>
      </c>
      <c r="K29" s="75"/>
      <c r="L29" s="75"/>
      <c r="M29" s="75"/>
    </row>
    <row r="30" spans="1:14" x14ac:dyDescent="0.25">
      <c r="A30" s="55" t="s">
        <v>131</v>
      </c>
      <c r="B30" s="76">
        <v>15</v>
      </c>
      <c r="C30" s="68" t="s">
        <v>128</v>
      </c>
      <c r="D30" s="77">
        <v>24.861880772460115</v>
      </c>
      <c r="E30" s="76">
        <f t="shared" si="0"/>
        <v>372.92821158690174</v>
      </c>
      <c r="F30" s="67">
        <f>E30*Supuestos!$B$7</f>
        <v>3729.2821158690176</v>
      </c>
      <c r="H30" s="79"/>
      <c r="I30" s="68"/>
      <c r="J30" s="75">
        <v>12436.41</v>
      </c>
      <c r="K30" s="75"/>
      <c r="L30" s="75"/>
      <c r="M30" s="75"/>
    </row>
    <row r="31" spans="1:14" x14ac:dyDescent="0.25">
      <c r="A31" s="55" t="s">
        <v>132</v>
      </c>
      <c r="B31" s="76">
        <v>20</v>
      </c>
      <c r="C31" s="68" t="s">
        <v>128</v>
      </c>
      <c r="D31" s="77">
        <v>24.861880772460115</v>
      </c>
      <c r="E31" s="76">
        <f t="shared" si="0"/>
        <v>497.23761544920228</v>
      </c>
      <c r="F31" s="67">
        <f>E31*Supuestos!$B$7</f>
        <v>4972.3761544920226</v>
      </c>
      <c r="H31" s="79"/>
      <c r="I31" s="68"/>
      <c r="J31" s="75">
        <v>12436.41</v>
      </c>
      <c r="K31" s="75"/>
      <c r="L31" s="75"/>
      <c r="M31" s="75"/>
    </row>
    <row r="32" spans="1:14" x14ac:dyDescent="0.25">
      <c r="A32" s="55" t="s">
        <v>133</v>
      </c>
      <c r="B32" s="76">
        <v>4</v>
      </c>
      <c r="C32" s="68" t="s">
        <v>134</v>
      </c>
      <c r="D32" s="77">
        <v>39.33129423053856</v>
      </c>
      <c r="E32" s="76">
        <f t="shared" si="0"/>
        <v>157.32517692215424</v>
      </c>
      <c r="F32" s="67">
        <f>E32*Supuestos!$B$7</f>
        <v>1573.2517692215424</v>
      </c>
      <c r="H32" s="79"/>
      <c r="I32" s="68"/>
      <c r="J32" s="75">
        <v>19674.3</v>
      </c>
      <c r="K32" s="75"/>
      <c r="L32" s="75"/>
    </row>
    <row r="33" spans="1:18" x14ac:dyDescent="0.25">
      <c r="A33" s="55" t="s">
        <v>135</v>
      </c>
      <c r="B33" s="76">
        <v>3</v>
      </c>
      <c r="C33" s="68" t="s">
        <v>134</v>
      </c>
      <c r="D33" s="77">
        <v>39.33129423053856</v>
      </c>
      <c r="E33" s="76">
        <f t="shared" si="0"/>
        <v>117.99388269161568</v>
      </c>
      <c r="F33" s="67">
        <f>E33*Supuestos!$B$7</f>
        <v>1179.9388269161568</v>
      </c>
      <c r="H33" s="79"/>
      <c r="I33" s="68"/>
      <c r="J33" s="75">
        <v>19674.3</v>
      </c>
      <c r="K33" s="75"/>
      <c r="L33" s="75"/>
    </row>
    <row r="34" spans="1:18" x14ac:dyDescent="0.25">
      <c r="A34" s="55" t="s">
        <v>136</v>
      </c>
      <c r="B34" s="76">
        <v>5</v>
      </c>
      <c r="C34" s="68" t="s">
        <v>134</v>
      </c>
      <c r="D34" s="77">
        <v>39.33129423053856</v>
      </c>
      <c r="E34" s="76">
        <f t="shared" si="0"/>
        <v>196.6564711526928</v>
      </c>
      <c r="F34" s="67">
        <f>E34*Supuestos!$B$7</f>
        <v>1966.564711526928</v>
      </c>
      <c r="H34" s="79"/>
      <c r="I34" s="68"/>
      <c r="J34" s="75">
        <v>19674.3</v>
      </c>
      <c r="K34" s="75"/>
      <c r="L34" s="75"/>
    </row>
    <row r="35" spans="1:18" x14ac:dyDescent="0.25">
      <c r="A35" s="81" t="s">
        <v>137</v>
      </c>
      <c r="B35" s="76">
        <v>12</v>
      </c>
      <c r="C35" s="68" t="s">
        <v>138</v>
      </c>
      <c r="D35" s="77">
        <v>12</v>
      </c>
      <c r="E35" s="76">
        <f t="shared" si="0"/>
        <v>144</v>
      </c>
      <c r="F35" s="67">
        <f>E35*Supuestos!$B$7</f>
        <v>1440</v>
      </c>
      <c r="H35" s="79"/>
      <c r="I35" s="68"/>
      <c r="J35" s="75"/>
      <c r="K35" s="75"/>
      <c r="L35" s="75"/>
    </row>
    <row r="36" spans="1:18" x14ac:dyDescent="0.25">
      <c r="A36" s="55" t="s">
        <v>139</v>
      </c>
      <c r="B36" s="76">
        <v>1</v>
      </c>
      <c r="C36" s="68" t="s">
        <v>140</v>
      </c>
      <c r="D36" s="77">
        <f>8000.32/(500.22)</f>
        <v>15.993602814761504</v>
      </c>
      <c r="E36" s="76">
        <f>B36*D36</f>
        <v>15.993602814761504</v>
      </c>
      <c r="F36" s="67">
        <f>E36*Supuestos!$B$7</f>
        <v>159.93602814761505</v>
      </c>
      <c r="H36" s="79"/>
      <c r="I36" s="68"/>
      <c r="J36" s="75">
        <v>8000.32</v>
      </c>
      <c r="K36" s="75"/>
      <c r="L36" s="75"/>
    </row>
    <row r="37" spans="1:18" ht="13" thickBot="1" x14ac:dyDescent="0.3">
      <c r="A37" s="58"/>
      <c r="B37" s="58"/>
      <c r="C37" s="58"/>
      <c r="D37" s="58"/>
      <c r="E37" s="59">
        <f>SUM(E20:E36)</f>
        <v>3154.52746029842</v>
      </c>
      <c r="F37" s="59">
        <f>SUM(F20:F36)</f>
        <v>31545.274602984202</v>
      </c>
      <c r="H37" s="78"/>
      <c r="I37" s="78"/>
      <c r="J37" s="78"/>
      <c r="K37" s="78"/>
      <c r="L37" s="78"/>
      <c r="M37" s="78"/>
    </row>
    <row r="38" spans="1:18" ht="13" thickTop="1" x14ac:dyDescent="0.25"/>
    <row r="39" spans="1:18" x14ac:dyDescent="0.25">
      <c r="A39" s="64" t="s">
        <v>163</v>
      </c>
    </row>
    <row r="41" spans="1:18" ht="25" x14ac:dyDescent="0.25">
      <c r="A41" s="60" t="s">
        <v>17</v>
      </c>
      <c r="B41" s="60" t="s">
        <v>114</v>
      </c>
      <c r="C41" s="60" t="s">
        <v>115</v>
      </c>
      <c r="D41" s="60" t="s">
        <v>116</v>
      </c>
      <c r="E41" s="61" t="s">
        <v>117</v>
      </c>
      <c r="F41" s="61" t="s">
        <v>145</v>
      </c>
    </row>
    <row r="42" spans="1:18" x14ac:dyDescent="0.25">
      <c r="A42" s="64" t="s">
        <v>142</v>
      </c>
      <c r="B42" s="64"/>
      <c r="C42" s="72"/>
      <c r="D42" s="64"/>
      <c r="E42" s="64"/>
      <c r="F42" s="64"/>
    </row>
    <row r="43" spans="1:18" x14ac:dyDescent="0.25">
      <c r="A43" s="64" t="s">
        <v>143</v>
      </c>
      <c r="B43" s="64">
        <v>1</v>
      </c>
      <c r="C43" s="72" t="s">
        <v>66</v>
      </c>
      <c r="D43" s="64">
        <v>15</v>
      </c>
      <c r="E43" s="64">
        <f>B43*D43</f>
        <v>15</v>
      </c>
      <c r="F43" s="71">
        <f>E43*Supuestos!$B$7</f>
        <v>150</v>
      </c>
    </row>
    <row r="44" spans="1:18" x14ac:dyDescent="0.25">
      <c r="A44" s="64" t="s">
        <v>164</v>
      </c>
      <c r="B44" s="64">
        <v>1</v>
      </c>
      <c r="C44" s="72" t="s">
        <v>66</v>
      </c>
      <c r="D44" s="64">
        <v>10</v>
      </c>
      <c r="E44" s="64">
        <f t="shared" ref="E44:E45" si="1">B44*D44</f>
        <v>10</v>
      </c>
      <c r="F44" s="71">
        <f>E44*Supuestos!$B$7</f>
        <v>100</v>
      </c>
    </row>
    <row r="45" spans="1:18" ht="25" x14ac:dyDescent="0.25">
      <c r="A45" s="70" t="s">
        <v>147</v>
      </c>
      <c r="B45" s="64">
        <v>1</v>
      </c>
      <c r="C45" s="72" t="s">
        <v>66</v>
      </c>
      <c r="D45" s="64">
        <v>80</v>
      </c>
      <c r="E45" s="64">
        <f t="shared" si="1"/>
        <v>80</v>
      </c>
      <c r="F45" s="71">
        <f>E45*Supuestos!$B$7</f>
        <v>800</v>
      </c>
      <c r="R45" s="75"/>
    </row>
    <row r="46" spans="1:18" ht="13" thickBot="1" x14ac:dyDescent="0.3">
      <c r="A46" s="58" t="s">
        <v>165</v>
      </c>
      <c r="B46" s="58"/>
      <c r="C46" s="58"/>
      <c r="D46" s="58">
        <f>SUM(D43:D45)</f>
        <v>105</v>
      </c>
      <c r="E46" s="58">
        <f>SUM(E43:E45)</f>
        <v>105</v>
      </c>
      <c r="F46" s="59">
        <f>SUM(F43:F45)</f>
        <v>1050</v>
      </c>
    </row>
    <row r="47" spans="1:18" ht="13" thickTop="1" x14ac:dyDescent="0.25"/>
    <row r="48" spans="1:18" x14ac:dyDescent="0.25">
      <c r="A48" s="64" t="s">
        <v>148</v>
      </c>
    </row>
    <row r="50" spans="1:6" ht="25" x14ac:dyDescent="0.25">
      <c r="A50" s="60" t="s">
        <v>17</v>
      </c>
      <c r="B50" s="60" t="s">
        <v>114</v>
      </c>
      <c r="C50" s="60" t="s">
        <v>115</v>
      </c>
      <c r="D50" s="60" t="s">
        <v>116</v>
      </c>
      <c r="E50" s="61" t="s">
        <v>117</v>
      </c>
      <c r="F50" s="61" t="s">
        <v>145</v>
      </c>
    </row>
    <row r="51" spans="1:6" x14ac:dyDescent="0.25">
      <c r="A51" s="64"/>
      <c r="B51" s="64"/>
      <c r="C51" s="64"/>
      <c r="D51" s="64"/>
      <c r="E51" s="69"/>
      <c r="F51" s="69"/>
    </row>
    <row r="52" spans="1:6" x14ac:dyDescent="0.25">
      <c r="A52" s="70" t="s">
        <v>161</v>
      </c>
      <c r="B52" s="64">
        <v>1</v>
      </c>
      <c r="C52" s="64" t="s">
        <v>150</v>
      </c>
      <c r="D52" s="64">
        <v>350</v>
      </c>
      <c r="E52" s="64">
        <f>B52*D52</f>
        <v>350</v>
      </c>
      <c r="F52" s="71">
        <f>E52*Supuestos!$B$7</f>
        <v>3500</v>
      </c>
    </row>
    <row r="53" spans="1:6" ht="25" x14ac:dyDescent="0.25">
      <c r="A53" s="70" t="s">
        <v>151</v>
      </c>
      <c r="B53" s="64">
        <v>1</v>
      </c>
      <c r="C53" s="64" t="s">
        <v>150</v>
      </c>
      <c r="D53" s="64">
        <v>150</v>
      </c>
      <c r="E53" s="64">
        <f t="shared" ref="E53:E55" si="2">B53*D53</f>
        <v>150</v>
      </c>
      <c r="F53" s="71">
        <f>E53*Supuestos!$B$7</f>
        <v>1500</v>
      </c>
    </row>
    <row r="54" spans="1:6" ht="25" x14ac:dyDescent="0.25">
      <c r="A54" s="70" t="s">
        <v>152</v>
      </c>
      <c r="B54" s="64">
        <v>1</v>
      </c>
      <c r="C54" s="64" t="s">
        <v>150</v>
      </c>
      <c r="D54" s="64">
        <v>200</v>
      </c>
      <c r="E54" s="64">
        <f t="shared" si="2"/>
        <v>200</v>
      </c>
      <c r="F54" s="71">
        <f>E54*Supuestos!$B$7</f>
        <v>2000</v>
      </c>
    </row>
    <row r="55" spans="1:6" x14ac:dyDescent="0.25">
      <c r="A55" s="70" t="s">
        <v>153</v>
      </c>
      <c r="B55" s="64">
        <v>1</v>
      </c>
      <c r="C55" s="64" t="s">
        <v>150</v>
      </c>
      <c r="D55" s="64">
        <v>50</v>
      </c>
      <c r="E55" s="64">
        <f t="shared" si="2"/>
        <v>50</v>
      </c>
      <c r="F55" s="71">
        <f>E55*Supuestos!$B$7</f>
        <v>500</v>
      </c>
    </row>
    <row r="56" spans="1:6" ht="13" thickBot="1" x14ac:dyDescent="0.3">
      <c r="A56" s="58" t="s">
        <v>166</v>
      </c>
      <c r="B56" s="58"/>
      <c r="C56" s="58"/>
      <c r="D56" s="59">
        <f>SUM(D51:D55)</f>
        <v>750</v>
      </c>
      <c r="E56" s="59">
        <f t="shared" ref="E56:F56" si="3">SUM(E51:E55)</f>
        <v>750</v>
      </c>
      <c r="F56" s="59">
        <f t="shared" si="3"/>
        <v>7500</v>
      </c>
    </row>
    <row r="57" spans="1:6" ht="13" thickTop="1" x14ac:dyDescent="0.25"/>
    <row r="59" spans="1:6" x14ac:dyDescent="0.25">
      <c r="A59" s="55" t="s">
        <v>175</v>
      </c>
    </row>
    <row r="63" spans="1:6" x14ac:dyDescent="0.25">
      <c r="A63" s="63"/>
    </row>
    <row r="69" spans="1:1" x14ac:dyDescent="0.25">
      <c r="A69" s="55" t="s">
        <v>149</v>
      </c>
    </row>
  </sheetData>
  <mergeCells count="1">
    <mergeCell ref="G18:H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showGridLines="0" workbookViewId="0">
      <selection activeCell="I19" sqref="I19"/>
    </sheetView>
  </sheetViews>
  <sheetFormatPr baseColWidth="10" defaultColWidth="8.90625" defaultRowHeight="14.5" x14ac:dyDescent="0.35"/>
  <cols>
    <col min="1" max="1" width="20" bestFit="1" customWidth="1"/>
    <col min="2" max="2" width="7.81640625" bestFit="1" customWidth="1"/>
    <col min="3" max="3" width="16.6328125" bestFit="1" customWidth="1"/>
    <col min="5" max="9" width="6.81640625" bestFit="1" customWidth="1"/>
    <col min="10" max="10" width="12.54296875" bestFit="1" customWidth="1"/>
  </cols>
  <sheetData>
    <row r="1" spans="1:10" x14ac:dyDescent="0.35">
      <c r="A1" s="49" t="s">
        <v>40</v>
      </c>
    </row>
    <row r="2" spans="1:10" x14ac:dyDescent="0.35">
      <c r="A2" t="s">
        <v>170</v>
      </c>
    </row>
    <row r="3" spans="1:10" x14ac:dyDescent="0.35">
      <c r="A3" t="s">
        <v>167</v>
      </c>
    </row>
    <row r="4" spans="1:10" x14ac:dyDescent="0.35">
      <c r="A4" t="s">
        <v>42</v>
      </c>
    </row>
    <row r="6" spans="1:10" x14ac:dyDescent="0.35">
      <c r="A6" s="2" t="s">
        <v>27</v>
      </c>
      <c r="B6" s="2" t="s">
        <v>28</v>
      </c>
      <c r="C6" s="2" t="s">
        <v>29</v>
      </c>
      <c r="E6" s="2" t="s">
        <v>34</v>
      </c>
      <c r="F6" s="2" t="s">
        <v>35</v>
      </c>
      <c r="G6" s="2" t="s">
        <v>36</v>
      </c>
      <c r="H6" s="2" t="s">
        <v>37</v>
      </c>
      <c r="I6" s="2" t="s">
        <v>38</v>
      </c>
      <c r="J6" s="2" t="s">
        <v>39</v>
      </c>
    </row>
    <row r="7" spans="1:10" x14ac:dyDescent="0.35">
      <c r="A7" t="s">
        <v>14</v>
      </c>
      <c r="B7" s="5">
        <v>7500</v>
      </c>
      <c r="C7" s="5">
        <f>B7/Supuestos!B14</f>
        <v>1500</v>
      </c>
      <c r="E7" s="8">
        <f>$C$7</f>
        <v>1500</v>
      </c>
      <c r="F7" s="8">
        <f t="shared" ref="F7:I7" si="0">$C$7</f>
        <v>1500</v>
      </c>
      <c r="G7" s="8">
        <f t="shared" si="0"/>
        <v>1500</v>
      </c>
      <c r="H7" s="8">
        <f t="shared" si="0"/>
        <v>1500</v>
      </c>
      <c r="I7" s="8">
        <f t="shared" si="0"/>
        <v>1500</v>
      </c>
      <c r="J7" s="8">
        <f>B7-SUM(E7:I7)</f>
        <v>0</v>
      </c>
    </row>
    <row r="8" spans="1:10" x14ac:dyDescent="0.35">
      <c r="A8" t="s">
        <v>30</v>
      </c>
      <c r="B8" s="5">
        <v>3500</v>
      </c>
      <c r="C8" s="5">
        <f>B8/Supuestos!B14</f>
        <v>700</v>
      </c>
      <c r="E8" s="8">
        <f>$C$8</f>
        <v>700</v>
      </c>
      <c r="F8" s="8">
        <f t="shared" ref="F8:I8" si="1">$C$8</f>
        <v>700</v>
      </c>
      <c r="G8" s="8">
        <f t="shared" si="1"/>
        <v>700</v>
      </c>
      <c r="H8" s="8">
        <f t="shared" si="1"/>
        <v>700</v>
      </c>
      <c r="I8" s="8">
        <f t="shared" si="1"/>
        <v>700</v>
      </c>
      <c r="J8" s="8">
        <f>B8-SUM(E8:I8)</f>
        <v>0</v>
      </c>
    </row>
    <row r="9" spans="1:10" ht="15" thickBot="1" x14ac:dyDescent="0.4">
      <c r="A9" s="3" t="s">
        <v>31</v>
      </c>
      <c r="B9" s="7">
        <f>SUM(B7:B8)</f>
        <v>11000</v>
      </c>
      <c r="C9" s="7">
        <f>SUM(C7:C8)</f>
        <v>2200</v>
      </c>
      <c r="E9" s="9">
        <f>SUM(E7:E8)</f>
        <v>2200</v>
      </c>
      <c r="F9" s="9">
        <f t="shared" ref="F9:J9" si="2">SUM(F7:F8)</f>
        <v>2200</v>
      </c>
      <c r="G9" s="9">
        <f t="shared" si="2"/>
        <v>2200</v>
      </c>
      <c r="H9" s="9">
        <f t="shared" si="2"/>
        <v>2200</v>
      </c>
      <c r="I9" s="9">
        <f t="shared" si="2"/>
        <v>2200</v>
      </c>
      <c r="J9" s="9">
        <f t="shared" si="2"/>
        <v>0</v>
      </c>
    </row>
    <row r="10" spans="1:10" ht="15" thickTop="1" x14ac:dyDescent="0.35"/>
  </sheetData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2D87D-2258-48F9-B2AD-6E39BD34EFD4}">
  <dimension ref="A1:U74"/>
  <sheetViews>
    <sheetView showGridLines="0" topLeftCell="E8" workbookViewId="0">
      <selection activeCell="J13" sqref="J13"/>
    </sheetView>
  </sheetViews>
  <sheetFormatPr baseColWidth="10" defaultColWidth="11.54296875" defaultRowHeight="14.5" x14ac:dyDescent="0.35"/>
  <cols>
    <col min="1" max="1" width="19.90625" bestFit="1" customWidth="1"/>
    <col min="2" max="2" width="11.36328125" bestFit="1" customWidth="1"/>
    <col min="3" max="3" width="7.81640625" bestFit="1" customWidth="1"/>
    <col min="4" max="4" width="12.08984375" bestFit="1" customWidth="1"/>
    <col min="5" max="5" width="7.6328125" bestFit="1" customWidth="1"/>
    <col min="6" max="6" width="10.1796875" bestFit="1" customWidth="1"/>
    <col min="7" max="7" width="3.08984375" customWidth="1"/>
    <col min="9" max="9" width="11.36328125" bestFit="1" customWidth="1"/>
    <col min="10" max="10" width="7.81640625" bestFit="1" customWidth="1"/>
    <col min="11" max="11" width="12.08984375" bestFit="1" customWidth="1"/>
    <col min="12" max="12" width="7.36328125" bestFit="1" customWidth="1"/>
    <col min="13" max="13" width="10.1796875" bestFit="1" customWidth="1"/>
    <col min="14" max="14" width="3.08984375" customWidth="1"/>
    <col min="16" max="21" width="7.81640625" bestFit="1" customWidth="1"/>
  </cols>
  <sheetData>
    <row r="1" spans="1:21" x14ac:dyDescent="0.35">
      <c r="A1" s="49" t="s">
        <v>87</v>
      </c>
    </row>
    <row r="2" spans="1:21" x14ac:dyDescent="0.35">
      <c r="A2" t="s">
        <v>170</v>
      </c>
    </row>
    <row r="3" spans="1:21" x14ac:dyDescent="0.35">
      <c r="A3" t="s">
        <v>41</v>
      </c>
    </row>
    <row r="4" spans="1:21" x14ac:dyDescent="0.35">
      <c r="A4" t="s">
        <v>42</v>
      </c>
    </row>
    <row r="6" spans="1:21" x14ac:dyDescent="0.35">
      <c r="A6" t="s">
        <v>43</v>
      </c>
      <c r="B6" s="8">
        <f>'Costos Detallados'!C15</f>
        <v>42199.80206328263</v>
      </c>
    </row>
    <row r="7" spans="1:21" x14ac:dyDescent="0.35">
      <c r="A7" t="s">
        <v>44</v>
      </c>
      <c r="B7" s="6">
        <f>+Supuestos!B11</f>
        <v>0.12</v>
      </c>
      <c r="C7" s="12"/>
    </row>
    <row r="8" spans="1:21" x14ac:dyDescent="0.35">
      <c r="A8" t="s">
        <v>45</v>
      </c>
      <c r="B8" s="13">
        <f>+Supuestos!B12*12</f>
        <v>60</v>
      </c>
    </row>
    <row r="9" spans="1:21" x14ac:dyDescent="0.35">
      <c r="A9" t="s">
        <v>46</v>
      </c>
      <c r="B9" s="11">
        <f>B6*B7/12</f>
        <v>421.99802063282624</v>
      </c>
    </row>
    <row r="10" spans="1:21" x14ac:dyDescent="0.35">
      <c r="A10" t="s">
        <v>172</v>
      </c>
      <c r="B10" s="12">
        <f>PMT(B7/12,B8,-B6)</f>
        <v>938.71128930990028</v>
      </c>
    </row>
    <row r="12" spans="1:21" x14ac:dyDescent="0.35">
      <c r="A12" s="14" t="s">
        <v>47</v>
      </c>
      <c r="B12" s="14" t="s">
        <v>48</v>
      </c>
      <c r="C12" s="14" t="s">
        <v>49</v>
      </c>
      <c r="D12" s="14" t="s">
        <v>50</v>
      </c>
      <c r="E12" s="14" t="s">
        <v>51</v>
      </c>
      <c r="F12" s="14" t="s">
        <v>52</v>
      </c>
      <c r="H12" s="14" t="s">
        <v>47</v>
      </c>
      <c r="I12" s="14" t="s">
        <v>48</v>
      </c>
      <c r="J12" s="14" t="s">
        <v>49</v>
      </c>
      <c r="K12" s="14" t="s">
        <v>50</v>
      </c>
      <c r="L12" s="14" t="s">
        <v>51</v>
      </c>
      <c r="M12" s="14" t="s">
        <v>52</v>
      </c>
      <c r="O12" s="14" t="s">
        <v>47</v>
      </c>
      <c r="P12" s="14">
        <v>1</v>
      </c>
      <c r="Q12" s="14">
        <v>2</v>
      </c>
      <c r="R12" s="14">
        <v>3</v>
      </c>
      <c r="S12" s="14">
        <v>4</v>
      </c>
      <c r="T12" s="14">
        <v>5</v>
      </c>
      <c r="U12" s="14" t="s">
        <v>19</v>
      </c>
    </row>
    <row r="13" spans="1:21" x14ac:dyDescent="0.35">
      <c r="A13" s="15">
        <v>1</v>
      </c>
      <c r="B13" s="16">
        <f>B6</f>
        <v>42199.80206328263</v>
      </c>
      <c r="C13" s="16">
        <f>B13*$B$7/12</f>
        <v>421.99802063282624</v>
      </c>
      <c r="D13" s="16">
        <f>E13-C13</f>
        <v>516.71326867707398</v>
      </c>
      <c r="E13" s="16">
        <f>$B$10</f>
        <v>938.71128930990028</v>
      </c>
      <c r="F13" s="16">
        <f>B13-D13</f>
        <v>41683.088794605559</v>
      </c>
      <c r="H13" s="15">
        <v>1</v>
      </c>
      <c r="I13" s="16">
        <f>B6</f>
        <v>42199.80206328263</v>
      </c>
      <c r="J13" s="16">
        <f>SUM(C13:C24)</f>
        <v>4711.317884762957</v>
      </c>
      <c r="K13" s="16">
        <f>SUM(D13:D24)</f>
        <v>6553.2175869558459</v>
      </c>
      <c r="L13" s="16">
        <f>SUM(E13:E24)</f>
        <v>11264.535471718804</v>
      </c>
      <c r="M13" s="16">
        <f>I13-K13</f>
        <v>35646.584476326781</v>
      </c>
      <c r="O13" t="s">
        <v>33</v>
      </c>
      <c r="P13" s="8">
        <f>J13</f>
        <v>4711.317884762957</v>
      </c>
      <c r="Q13" s="8">
        <f>J14</f>
        <v>3880.2058668359282</v>
      </c>
      <c r="R13" s="8">
        <f>J15</f>
        <v>2943.6880421922619</v>
      </c>
      <c r="S13" s="8">
        <f>J16</f>
        <v>1888.3963162190348</v>
      </c>
      <c r="T13" s="8">
        <f>J17</f>
        <v>699.26718530123571</v>
      </c>
      <c r="U13" s="8">
        <f>SUM(P13:T13)</f>
        <v>14122.875295311416</v>
      </c>
    </row>
    <row r="14" spans="1:21" x14ac:dyDescent="0.35">
      <c r="A14" s="15">
        <v>2</v>
      </c>
      <c r="B14" s="16">
        <f t="shared" ref="B14:B72" si="0">F13</f>
        <v>41683.088794605559</v>
      </c>
      <c r="C14" s="16">
        <f>B14*$B$7/12</f>
        <v>416.83088794605555</v>
      </c>
      <c r="D14" s="16">
        <f>E14-C14</f>
        <v>521.88040136384473</v>
      </c>
      <c r="E14" s="16">
        <f t="shared" ref="E14:E72" si="1">E13</f>
        <v>938.71128930990028</v>
      </c>
      <c r="F14" s="16">
        <f t="shared" ref="F14:F72" si="2">F13-D14</f>
        <v>41161.208393241715</v>
      </c>
      <c r="H14" s="15">
        <v>2</v>
      </c>
      <c r="I14" s="16">
        <f>M13</f>
        <v>35646.584476326781</v>
      </c>
      <c r="J14" s="16">
        <f>SUM(C25:C36)</f>
        <v>3880.2058668359282</v>
      </c>
      <c r="K14" s="16">
        <f>SUM(D25:D36)</f>
        <v>7384.3296048828761</v>
      </c>
      <c r="L14" s="16">
        <f>SUM(E25:E36)</f>
        <v>11264.535471718804</v>
      </c>
      <c r="M14" s="16">
        <f t="shared" ref="M14:M17" si="3">M13-K14</f>
        <v>28262.254871443904</v>
      </c>
      <c r="O14" t="s">
        <v>50</v>
      </c>
      <c r="P14" s="8">
        <f>K13</f>
        <v>6553.2175869558459</v>
      </c>
      <c r="Q14" s="8">
        <f>K14</f>
        <v>7384.3296048828761</v>
      </c>
      <c r="R14" s="8">
        <f>K15</f>
        <v>8320.8474295265423</v>
      </c>
      <c r="S14" s="8">
        <f>K16</f>
        <v>9376.1391554997663</v>
      </c>
      <c r="T14" s="8">
        <f>K17</f>
        <v>10565.268286417569</v>
      </c>
      <c r="U14" s="8">
        <f>SUM(P14:T14)</f>
        <v>42199.802063282608</v>
      </c>
    </row>
    <row r="15" spans="1:21" ht="15" thickBot="1" x14ac:dyDescent="0.4">
      <c r="A15" s="15">
        <v>3</v>
      </c>
      <c r="B15" s="16">
        <f t="shared" si="0"/>
        <v>41161.208393241715</v>
      </c>
      <c r="C15" s="16">
        <f t="shared" ref="C15:C72" si="4">B15*$B$7/12</f>
        <v>411.61208393241714</v>
      </c>
      <c r="D15" s="16">
        <f>E15-C15</f>
        <v>527.09920537748314</v>
      </c>
      <c r="E15" s="16">
        <f t="shared" si="1"/>
        <v>938.71128930990028</v>
      </c>
      <c r="F15" s="16">
        <f t="shared" si="2"/>
        <v>40634.109187864233</v>
      </c>
      <c r="H15" s="15">
        <v>3</v>
      </c>
      <c r="I15" s="16">
        <f t="shared" ref="I15:I17" si="5">M14</f>
        <v>28262.254871443904</v>
      </c>
      <c r="J15" s="16">
        <f>SUM(C37:C48)</f>
        <v>2943.6880421922619</v>
      </c>
      <c r="K15" s="16">
        <f>SUM(D37:D48)</f>
        <v>8320.8474295265423</v>
      </c>
      <c r="L15" s="16">
        <f>SUM(E37:E48)</f>
        <v>11264.535471718804</v>
      </c>
      <c r="M15" s="16">
        <f t="shared" si="3"/>
        <v>19941.407441917363</v>
      </c>
      <c r="O15" s="3" t="s">
        <v>19</v>
      </c>
      <c r="P15" s="9">
        <f>SUM(P13:P14)</f>
        <v>11264.535471718802</v>
      </c>
      <c r="Q15" s="9">
        <f t="shared" ref="Q15:U15" si="6">SUM(Q13:Q14)</f>
        <v>11264.535471718804</v>
      </c>
      <c r="R15" s="9">
        <f t="shared" si="6"/>
        <v>11264.535471718804</v>
      </c>
      <c r="S15" s="9">
        <f t="shared" si="6"/>
        <v>11264.535471718802</v>
      </c>
      <c r="T15" s="9">
        <f t="shared" si="6"/>
        <v>11264.535471718806</v>
      </c>
      <c r="U15" s="9">
        <f t="shared" si="6"/>
        <v>56322.677358594025</v>
      </c>
    </row>
    <row r="16" spans="1:21" ht="15" thickTop="1" x14ac:dyDescent="0.35">
      <c r="A16" s="15">
        <v>4</v>
      </c>
      <c r="B16" s="16">
        <f t="shared" si="0"/>
        <v>40634.109187864233</v>
      </c>
      <c r="C16" s="16">
        <f>B16*$B$7/12</f>
        <v>406.34109187864232</v>
      </c>
      <c r="D16" s="16">
        <f>E16-C16</f>
        <v>532.37019743125802</v>
      </c>
      <c r="E16" s="16">
        <f t="shared" si="1"/>
        <v>938.71128930990028</v>
      </c>
      <c r="F16" s="16">
        <f t="shared" si="2"/>
        <v>40101.738990432976</v>
      </c>
      <c r="H16" s="15">
        <v>4</v>
      </c>
      <c r="I16" s="16">
        <f t="shared" si="5"/>
        <v>19941.407441917363</v>
      </c>
      <c r="J16" s="16">
        <f>SUM(C49:C60)</f>
        <v>1888.3963162190348</v>
      </c>
      <c r="K16" s="16">
        <f>SUM(D49:D60)</f>
        <v>9376.1391554997663</v>
      </c>
      <c r="L16" s="16">
        <f>SUM(E49:E60)</f>
        <v>11264.535471718804</v>
      </c>
      <c r="M16" s="16">
        <f t="shared" si="3"/>
        <v>10565.268286417597</v>
      </c>
    </row>
    <row r="17" spans="1:13" x14ac:dyDescent="0.35">
      <c r="A17" s="15">
        <v>5</v>
      </c>
      <c r="B17" s="16">
        <f t="shared" si="0"/>
        <v>40101.738990432976</v>
      </c>
      <c r="C17" s="16">
        <f t="shared" si="4"/>
        <v>401.01738990432978</v>
      </c>
      <c r="D17" s="16">
        <f>E17-C17</f>
        <v>537.69389940557051</v>
      </c>
      <c r="E17" s="16">
        <f t="shared" si="1"/>
        <v>938.71128930990028</v>
      </c>
      <c r="F17" s="16">
        <f t="shared" si="2"/>
        <v>39564.045091027408</v>
      </c>
      <c r="H17" s="15">
        <v>5</v>
      </c>
      <c r="I17" s="16">
        <f t="shared" si="5"/>
        <v>10565.268286417597</v>
      </c>
      <c r="J17" s="16">
        <f>SUM(C61:C72)</f>
        <v>699.26718530123571</v>
      </c>
      <c r="K17" s="16">
        <f>SUM(D61:D72)</f>
        <v>10565.268286417569</v>
      </c>
      <c r="L17" s="16">
        <f>SUM(E61:E72)</f>
        <v>11264.535471718804</v>
      </c>
      <c r="M17" s="16">
        <f t="shared" si="3"/>
        <v>2.7284841053187847E-11</v>
      </c>
    </row>
    <row r="18" spans="1:13" ht="15" thickBot="1" x14ac:dyDescent="0.4">
      <c r="A18" s="15">
        <v>6</v>
      </c>
      <c r="B18" s="16">
        <f t="shared" si="0"/>
        <v>39564.045091027408</v>
      </c>
      <c r="C18" s="16">
        <f t="shared" si="4"/>
        <v>395.64045091027407</v>
      </c>
      <c r="D18" s="16">
        <f t="shared" ref="D18:D72" si="7">E18-C18</f>
        <v>543.07083839962615</v>
      </c>
      <c r="E18" s="16">
        <f t="shared" si="1"/>
        <v>938.71128930990028</v>
      </c>
      <c r="F18" s="16">
        <f t="shared" si="2"/>
        <v>39020.974252627784</v>
      </c>
      <c r="H18" s="3" t="s">
        <v>19</v>
      </c>
      <c r="I18" s="3"/>
      <c r="J18" s="9">
        <f>SUM(J13:J17)</f>
        <v>14122.875295311416</v>
      </c>
      <c r="K18" s="9">
        <f>SUM(K13:K17)</f>
        <v>42199.802063282608</v>
      </c>
      <c r="L18" s="3"/>
      <c r="M18" s="3"/>
    </row>
    <row r="19" spans="1:13" ht="15" thickTop="1" x14ac:dyDescent="0.35">
      <c r="A19" s="15">
        <v>7</v>
      </c>
      <c r="B19" s="16">
        <f t="shared" si="0"/>
        <v>39020.974252627784</v>
      </c>
      <c r="C19" s="16">
        <f t="shared" si="4"/>
        <v>390.20974252627781</v>
      </c>
      <c r="D19" s="16">
        <f t="shared" si="7"/>
        <v>548.50154678362242</v>
      </c>
      <c r="E19" s="16">
        <f t="shared" si="1"/>
        <v>938.71128930990028</v>
      </c>
      <c r="F19" s="16">
        <f t="shared" si="2"/>
        <v>38472.472705844164</v>
      </c>
    </row>
    <row r="20" spans="1:13" x14ac:dyDescent="0.35">
      <c r="A20" s="15">
        <v>8</v>
      </c>
      <c r="B20" s="16">
        <f t="shared" si="0"/>
        <v>38472.472705844164</v>
      </c>
      <c r="C20" s="16">
        <f t="shared" si="4"/>
        <v>384.72472705844166</v>
      </c>
      <c r="D20" s="16">
        <f t="shared" si="7"/>
        <v>553.98656225145862</v>
      </c>
      <c r="E20" s="16">
        <f t="shared" si="1"/>
        <v>938.71128930990028</v>
      </c>
      <c r="F20" s="16">
        <f t="shared" si="2"/>
        <v>37918.486143592709</v>
      </c>
    </row>
    <row r="21" spans="1:13" x14ac:dyDescent="0.35">
      <c r="A21" s="15">
        <v>9</v>
      </c>
      <c r="B21" s="16">
        <f t="shared" si="0"/>
        <v>37918.486143592709</v>
      </c>
      <c r="C21" s="16">
        <f t="shared" si="4"/>
        <v>379.18486143592708</v>
      </c>
      <c r="D21" s="16">
        <f t="shared" si="7"/>
        <v>559.52642787397326</v>
      </c>
      <c r="E21" s="16">
        <f t="shared" si="1"/>
        <v>938.71128930990028</v>
      </c>
      <c r="F21" s="16">
        <f t="shared" si="2"/>
        <v>37358.959715718738</v>
      </c>
    </row>
    <row r="22" spans="1:13" x14ac:dyDescent="0.35">
      <c r="A22" s="15">
        <v>10</v>
      </c>
      <c r="B22" s="16">
        <f t="shared" si="0"/>
        <v>37358.959715718738</v>
      </c>
      <c r="C22" s="16">
        <f t="shared" si="4"/>
        <v>373.58959715718737</v>
      </c>
      <c r="D22" s="16">
        <f t="shared" si="7"/>
        <v>565.12169215271297</v>
      </c>
      <c r="E22" s="16">
        <f t="shared" si="1"/>
        <v>938.71128930990028</v>
      </c>
      <c r="F22" s="16">
        <f t="shared" si="2"/>
        <v>36793.838023566022</v>
      </c>
    </row>
    <row r="23" spans="1:13" x14ac:dyDescent="0.35">
      <c r="A23" s="15">
        <v>11</v>
      </c>
      <c r="B23" s="16">
        <f t="shared" si="0"/>
        <v>36793.838023566022</v>
      </c>
      <c r="C23" s="16">
        <f t="shared" si="4"/>
        <v>367.93838023566019</v>
      </c>
      <c r="D23" s="16">
        <f t="shared" si="7"/>
        <v>570.77290907424003</v>
      </c>
      <c r="E23" s="16">
        <f t="shared" si="1"/>
        <v>938.71128930990028</v>
      </c>
      <c r="F23" s="16">
        <f t="shared" si="2"/>
        <v>36223.065114491779</v>
      </c>
    </row>
    <row r="24" spans="1:13" x14ac:dyDescent="0.35">
      <c r="A24" s="15">
        <v>12</v>
      </c>
      <c r="B24" s="16">
        <f t="shared" si="0"/>
        <v>36223.065114491779</v>
      </c>
      <c r="C24" s="16">
        <f t="shared" si="4"/>
        <v>362.23065114491777</v>
      </c>
      <c r="D24" s="16">
        <f t="shared" si="7"/>
        <v>576.48063816498257</v>
      </c>
      <c r="E24" s="16">
        <f t="shared" si="1"/>
        <v>938.71128930990028</v>
      </c>
      <c r="F24" s="16">
        <f t="shared" si="2"/>
        <v>35646.584476326796</v>
      </c>
    </row>
    <row r="25" spans="1:13" x14ac:dyDescent="0.35">
      <c r="A25" s="15">
        <v>13</v>
      </c>
      <c r="B25" s="16">
        <f t="shared" si="0"/>
        <v>35646.584476326796</v>
      </c>
      <c r="C25" s="16">
        <f t="shared" si="4"/>
        <v>356.46584476326797</v>
      </c>
      <c r="D25" s="16">
        <f t="shared" si="7"/>
        <v>582.24544454663237</v>
      </c>
      <c r="E25" s="16">
        <f t="shared" si="1"/>
        <v>938.71128930990028</v>
      </c>
      <c r="F25" s="16">
        <f t="shared" si="2"/>
        <v>35064.33903178016</v>
      </c>
    </row>
    <row r="26" spans="1:13" x14ac:dyDescent="0.35">
      <c r="A26" s="15">
        <v>14</v>
      </c>
      <c r="B26" s="16">
        <f t="shared" si="0"/>
        <v>35064.33903178016</v>
      </c>
      <c r="C26" s="16">
        <f t="shared" si="4"/>
        <v>350.64339031780156</v>
      </c>
      <c r="D26" s="16">
        <f t="shared" si="7"/>
        <v>588.06789899209866</v>
      </c>
      <c r="E26" s="16">
        <f t="shared" si="1"/>
        <v>938.71128930990028</v>
      </c>
      <c r="F26" s="16">
        <f t="shared" si="2"/>
        <v>34476.271132788061</v>
      </c>
    </row>
    <row r="27" spans="1:13" x14ac:dyDescent="0.35">
      <c r="A27" s="15">
        <v>15</v>
      </c>
      <c r="B27" s="16">
        <f t="shared" si="0"/>
        <v>34476.271132788061</v>
      </c>
      <c r="C27" s="16">
        <f t="shared" si="4"/>
        <v>344.7627113278806</v>
      </c>
      <c r="D27" s="16">
        <f t="shared" si="7"/>
        <v>593.94857798201974</v>
      </c>
      <c r="E27" s="16">
        <f t="shared" si="1"/>
        <v>938.71128930990028</v>
      </c>
      <c r="F27" s="16">
        <f t="shared" si="2"/>
        <v>33882.322554806044</v>
      </c>
    </row>
    <row r="28" spans="1:13" x14ac:dyDescent="0.35">
      <c r="A28" s="15">
        <v>16</v>
      </c>
      <c r="B28" s="16">
        <f t="shared" si="0"/>
        <v>33882.322554806044</v>
      </c>
      <c r="C28" s="16">
        <f t="shared" si="4"/>
        <v>338.82322554806041</v>
      </c>
      <c r="D28" s="16">
        <f t="shared" si="7"/>
        <v>599.88806376183993</v>
      </c>
      <c r="E28" s="16">
        <f t="shared" si="1"/>
        <v>938.71128930990028</v>
      </c>
      <c r="F28" s="16">
        <f t="shared" si="2"/>
        <v>33282.434491044201</v>
      </c>
    </row>
    <row r="29" spans="1:13" x14ac:dyDescent="0.35">
      <c r="A29" s="15">
        <v>17</v>
      </c>
      <c r="B29" s="16">
        <f t="shared" si="0"/>
        <v>33282.434491044201</v>
      </c>
      <c r="C29" s="16">
        <f t="shared" si="4"/>
        <v>332.82434491044199</v>
      </c>
      <c r="D29" s="16">
        <f t="shared" si="7"/>
        <v>605.88694439945834</v>
      </c>
      <c r="E29" s="16">
        <f t="shared" si="1"/>
        <v>938.71128930990028</v>
      </c>
      <c r="F29" s="16">
        <f t="shared" si="2"/>
        <v>32676.547546644742</v>
      </c>
    </row>
    <row r="30" spans="1:13" x14ac:dyDescent="0.35">
      <c r="A30" s="15">
        <v>18</v>
      </c>
      <c r="B30" s="16">
        <f t="shared" si="0"/>
        <v>32676.547546644742</v>
      </c>
      <c r="C30" s="16">
        <f t="shared" si="4"/>
        <v>326.76547546644741</v>
      </c>
      <c r="D30" s="16">
        <f t="shared" si="7"/>
        <v>611.94581384345292</v>
      </c>
      <c r="E30" s="16">
        <f t="shared" si="1"/>
        <v>938.71128930990028</v>
      </c>
      <c r="F30" s="16">
        <f t="shared" si="2"/>
        <v>32064.601732801289</v>
      </c>
    </row>
    <row r="31" spans="1:13" x14ac:dyDescent="0.35">
      <c r="A31" s="15">
        <v>19</v>
      </c>
      <c r="B31" s="16">
        <f t="shared" si="0"/>
        <v>32064.601732801289</v>
      </c>
      <c r="C31" s="16">
        <f t="shared" si="4"/>
        <v>320.64601732801287</v>
      </c>
      <c r="D31" s="16">
        <f t="shared" si="7"/>
        <v>618.06527198188746</v>
      </c>
      <c r="E31" s="16">
        <f t="shared" si="1"/>
        <v>938.71128930990028</v>
      </c>
      <c r="F31" s="16">
        <f t="shared" si="2"/>
        <v>31446.536460819403</v>
      </c>
    </row>
    <row r="32" spans="1:13" x14ac:dyDescent="0.35">
      <c r="A32" s="15">
        <v>20</v>
      </c>
      <c r="B32" s="16">
        <f t="shared" si="0"/>
        <v>31446.536460819403</v>
      </c>
      <c r="C32" s="16">
        <f t="shared" si="4"/>
        <v>314.46536460819402</v>
      </c>
      <c r="D32" s="16">
        <f t="shared" si="7"/>
        <v>624.24592470170626</v>
      </c>
      <c r="E32" s="16">
        <f t="shared" si="1"/>
        <v>938.71128930990028</v>
      </c>
      <c r="F32" s="16">
        <f t="shared" si="2"/>
        <v>30822.290536117696</v>
      </c>
    </row>
    <row r="33" spans="1:6" x14ac:dyDescent="0.35">
      <c r="A33" s="15">
        <v>21</v>
      </c>
      <c r="B33" s="16">
        <f t="shared" si="0"/>
        <v>30822.290536117696</v>
      </c>
      <c r="C33" s="16">
        <f t="shared" si="4"/>
        <v>308.22290536117697</v>
      </c>
      <c r="D33" s="16">
        <f t="shared" si="7"/>
        <v>630.48838394872337</v>
      </c>
      <c r="E33" s="16">
        <f t="shared" si="1"/>
        <v>938.71128930990028</v>
      </c>
      <c r="F33" s="16">
        <f t="shared" si="2"/>
        <v>30191.802152168973</v>
      </c>
    </row>
    <row r="34" spans="1:6" x14ac:dyDescent="0.35">
      <c r="A34" s="15">
        <v>22</v>
      </c>
      <c r="B34" s="16">
        <f t="shared" si="0"/>
        <v>30191.802152168973</v>
      </c>
      <c r="C34" s="16">
        <f t="shared" si="4"/>
        <v>301.9180215216897</v>
      </c>
      <c r="D34" s="16">
        <f t="shared" si="7"/>
        <v>636.79326778821064</v>
      </c>
      <c r="E34" s="16">
        <f t="shared" si="1"/>
        <v>938.71128930990028</v>
      </c>
      <c r="F34" s="16">
        <f t="shared" si="2"/>
        <v>29555.008884380764</v>
      </c>
    </row>
    <row r="35" spans="1:6" x14ac:dyDescent="0.35">
      <c r="A35" s="15">
        <v>23</v>
      </c>
      <c r="B35" s="16">
        <f t="shared" si="0"/>
        <v>29555.008884380764</v>
      </c>
      <c r="C35" s="16">
        <f t="shared" si="4"/>
        <v>295.5500888438076</v>
      </c>
      <c r="D35" s="16">
        <f t="shared" si="7"/>
        <v>643.16120046609262</v>
      </c>
      <c r="E35" s="16">
        <f t="shared" si="1"/>
        <v>938.71128930990028</v>
      </c>
      <c r="F35" s="16">
        <f t="shared" si="2"/>
        <v>28911.847683914672</v>
      </c>
    </row>
    <row r="36" spans="1:6" x14ac:dyDescent="0.35">
      <c r="A36" s="15">
        <v>24</v>
      </c>
      <c r="B36" s="16">
        <f t="shared" si="0"/>
        <v>28911.847683914672</v>
      </c>
      <c r="C36" s="16">
        <f t="shared" si="4"/>
        <v>289.11847683914669</v>
      </c>
      <c r="D36" s="16">
        <f t="shared" si="7"/>
        <v>649.59281247075364</v>
      </c>
      <c r="E36" s="16">
        <f t="shared" si="1"/>
        <v>938.71128930990028</v>
      </c>
      <c r="F36" s="16">
        <f t="shared" si="2"/>
        <v>28262.254871443918</v>
      </c>
    </row>
    <row r="37" spans="1:6" x14ac:dyDescent="0.35">
      <c r="A37" s="15">
        <v>25</v>
      </c>
      <c r="B37" s="16">
        <f t="shared" si="0"/>
        <v>28262.254871443918</v>
      </c>
      <c r="C37" s="16">
        <f t="shared" si="4"/>
        <v>282.62254871443918</v>
      </c>
      <c r="D37" s="16">
        <f t="shared" si="7"/>
        <v>656.0887405954611</v>
      </c>
      <c r="E37" s="16">
        <f t="shared" si="1"/>
        <v>938.71128930990028</v>
      </c>
      <c r="F37" s="16">
        <f t="shared" si="2"/>
        <v>27606.166130848458</v>
      </c>
    </row>
    <row r="38" spans="1:6" x14ac:dyDescent="0.35">
      <c r="A38" s="15">
        <v>26</v>
      </c>
      <c r="B38" s="16">
        <f t="shared" si="0"/>
        <v>27606.166130848458</v>
      </c>
      <c r="C38" s="16">
        <f t="shared" si="4"/>
        <v>276.06166130848459</v>
      </c>
      <c r="D38" s="16">
        <f t="shared" si="7"/>
        <v>662.64962800141575</v>
      </c>
      <c r="E38" s="16">
        <f t="shared" si="1"/>
        <v>938.71128930990028</v>
      </c>
      <c r="F38" s="16">
        <f t="shared" si="2"/>
        <v>26943.516502847044</v>
      </c>
    </row>
    <row r="39" spans="1:6" x14ac:dyDescent="0.35">
      <c r="A39" s="15">
        <v>27</v>
      </c>
      <c r="B39" s="16">
        <f t="shared" si="0"/>
        <v>26943.516502847044</v>
      </c>
      <c r="C39" s="16">
        <f t="shared" si="4"/>
        <v>269.43516502847041</v>
      </c>
      <c r="D39" s="16">
        <f t="shared" si="7"/>
        <v>669.27612428142993</v>
      </c>
      <c r="E39" s="16">
        <f t="shared" si="1"/>
        <v>938.71128930990028</v>
      </c>
      <c r="F39" s="16">
        <f t="shared" si="2"/>
        <v>26274.240378565613</v>
      </c>
    </row>
    <row r="40" spans="1:6" x14ac:dyDescent="0.35">
      <c r="A40" s="15">
        <v>28</v>
      </c>
      <c r="B40" s="16">
        <f t="shared" si="0"/>
        <v>26274.240378565613</v>
      </c>
      <c r="C40" s="16">
        <f t="shared" si="4"/>
        <v>262.74240378565611</v>
      </c>
      <c r="D40" s="16">
        <f t="shared" si="7"/>
        <v>675.96888552424412</v>
      </c>
      <c r="E40" s="16">
        <f t="shared" si="1"/>
        <v>938.71128930990028</v>
      </c>
      <c r="F40" s="16">
        <f t="shared" si="2"/>
        <v>25598.271493041368</v>
      </c>
    </row>
    <row r="41" spans="1:6" x14ac:dyDescent="0.35">
      <c r="A41" s="15">
        <v>29</v>
      </c>
      <c r="B41" s="16">
        <f t="shared" si="0"/>
        <v>25598.271493041368</v>
      </c>
      <c r="C41" s="16">
        <f t="shared" si="4"/>
        <v>255.98271493041366</v>
      </c>
      <c r="D41" s="16">
        <f t="shared" si="7"/>
        <v>682.72857437948664</v>
      </c>
      <c r="E41" s="16">
        <f t="shared" si="1"/>
        <v>938.71128930990028</v>
      </c>
      <c r="F41" s="16">
        <f t="shared" si="2"/>
        <v>24915.542918661882</v>
      </c>
    </row>
    <row r="42" spans="1:6" x14ac:dyDescent="0.35">
      <c r="A42" s="15">
        <v>30</v>
      </c>
      <c r="B42" s="16">
        <f t="shared" si="0"/>
        <v>24915.542918661882</v>
      </c>
      <c r="C42" s="16">
        <f t="shared" si="4"/>
        <v>249.15542918661882</v>
      </c>
      <c r="D42" s="16">
        <f t="shared" si="7"/>
        <v>689.55586012328149</v>
      </c>
      <c r="E42" s="16">
        <f t="shared" si="1"/>
        <v>938.71128930990028</v>
      </c>
      <c r="F42" s="16">
        <f t="shared" si="2"/>
        <v>24225.987058538602</v>
      </c>
    </row>
    <row r="43" spans="1:6" x14ac:dyDescent="0.35">
      <c r="A43" s="15">
        <v>31</v>
      </c>
      <c r="B43" s="16">
        <f t="shared" si="0"/>
        <v>24225.987058538602</v>
      </c>
      <c r="C43" s="16">
        <f t="shared" si="4"/>
        <v>242.25987058538601</v>
      </c>
      <c r="D43" s="16">
        <f t="shared" si="7"/>
        <v>696.45141872451427</v>
      </c>
      <c r="E43" s="16">
        <f t="shared" si="1"/>
        <v>938.71128930990028</v>
      </c>
      <c r="F43" s="16">
        <f t="shared" si="2"/>
        <v>23529.535639814087</v>
      </c>
    </row>
    <row r="44" spans="1:6" x14ac:dyDescent="0.35">
      <c r="A44" s="15">
        <v>32</v>
      </c>
      <c r="B44" s="16">
        <f t="shared" si="0"/>
        <v>23529.535639814087</v>
      </c>
      <c r="C44" s="16">
        <f t="shared" si="4"/>
        <v>235.29535639814085</v>
      </c>
      <c r="D44" s="16">
        <f t="shared" si="7"/>
        <v>703.41593291175946</v>
      </c>
      <c r="E44" s="16">
        <f t="shared" si="1"/>
        <v>938.71128930990028</v>
      </c>
      <c r="F44" s="16">
        <f t="shared" si="2"/>
        <v>22826.119706902326</v>
      </c>
    </row>
    <row r="45" spans="1:6" x14ac:dyDescent="0.35">
      <c r="A45" s="15">
        <v>33</v>
      </c>
      <c r="B45" s="16">
        <f t="shared" si="0"/>
        <v>22826.119706902326</v>
      </c>
      <c r="C45" s="16">
        <f t="shared" si="4"/>
        <v>228.26119706902327</v>
      </c>
      <c r="D45" s="16">
        <f t="shared" si="7"/>
        <v>710.45009224087698</v>
      </c>
      <c r="E45" s="16">
        <f t="shared" si="1"/>
        <v>938.71128930990028</v>
      </c>
      <c r="F45" s="16">
        <f t="shared" si="2"/>
        <v>22115.669614661449</v>
      </c>
    </row>
    <row r="46" spans="1:6" x14ac:dyDescent="0.35">
      <c r="A46" s="15">
        <v>34</v>
      </c>
      <c r="B46" s="16">
        <f t="shared" si="0"/>
        <v>22115.669614661449</v>
      </c>
      <c r="C46" s="16">
        <f t="shared" si="4"/>
        <v>221.15669614661445</v>
      </c>
      <c r="D46" s="16">
        <f t="shared" si="7"/>
        <v>717.55459316328586</v>
      </c>
      <c r="E46" s="16">
        <f t="shared" si="1"/>
        <v>938.71128930990028</v>
      </c>
      <c r="F46" s="16">
        <f t="shared" si="2"/>
        <v>21398.115021498164</v>
      </c>
    </row>
    <row r="47" spans="1:6" x14ac:dyDescent="0.35">
      <c r="A47" s="15">
        <v>35</v>
      </c>
      <c r="B47" s="16">
        <f t="shared" si="0"/>
        <v>21398.115021498164</v>
      </c>
      <c r="C47" s="16">
        <f t="shared" si="4"/>
        <v>213.98115021498165</v>
      </c>
      <c r="D47" s="16">
        <f t="shared" si="7"/>
        <v>724.73013909491863</v>
      </c>
      <c r="E47" s="16">
        <f t="shared" si="1"/>
        <v>938.71128930990028</v>
      </c>
      <c r="F47" s="16">
        <f t="shared" si="2"/>
        <v>20673.384882403247</v>
      </c>
    </row>
    <row r="48" spans="1:6" x14ac:dyDescent="0.35">
      <c r="A48" s="15">
        <v>36</v>
      </c>
      <c r="B48" s="16">
        <f t="shared" si="0"/>
        <v>20673.384882403247</v>
      </c>
      <c r="C48" s="16">
        <f t="shared" si="4"/>
        <v>206.73384882403244</v>
      </c>
      <c r="D48" s="16">
        <f t="shared" si="7"/>
        <v>731.97744048586787</v>
      </c>
      <c r="E48" s="16">
        <f t="shared" si="1"/>
        <v>938.71128930990028</v>
      </c>
      <c r="F48" s="16">
        <f t="shared" si="2"/>
        <v>19941.407441917378</v>
      </c>
    </row>
    <row r="49" spans="1:6" x14ac:dyDescent="0.35">
      <c r="A49" s="15">
        <v>37</v>
      </c>
      <c r="B49" s="16">
        <f t="shared" si="0"/>
        <v>19941.407441917378</v>
      </c>
      <c r="C49" s="16">
        <f t="shared" si="4"/>
        <v>199.41407441917377</v>
      </c>
      <c r="D49" s="16">
        <f t="shared" si="7"/>
        <v>739.29721489072654</v>
      </c>
      <c r="E49" s="16">
        <f t="shared" si="1"/>
        <v>938.71128930990028</v>
      </c>
      <c r="F49" s="16">
        <f t="shared" si="2"/>
        <v>19202.110227026649</v>
      </c>
    </row>
    <row r="50" spans="1:6" x14ac:dyDescent="0.35">
      <c r="A50" s="15">
        <v>38</v>
      </c>
      <c r="B50" s="16">
        <f t="shared" si="0"/>
        <v>19202.110227026649</v>
      </c>
      <c r="C50" s="16">
        <f t="shared" si="4"/>
        <v>192.02110227026648</v>
      </c>
      <c r="D50" s="16">
        <f t="shared" si="7"/>
        <v>746.69018703963377</v>
      </c>
      <c r="E50" s="16">
        <f t="shared" si="1"/>
        <v>938.71128930990028</v>
      </c>
      <c r="F50" s="16">
        <f t="shared" si="2"/>
        <v>18455.420039987017</v>
      </c>
    </row>
    <row r="51" spans="1:6" x14ac:dyDescent="0.35">
      <c r="A51" s="15">
        <v>39</v>
      </c>
      <c r="B51" s="16">
        <f t="shared" si="0"/>
        <v>18455.420039987017</v>
      </c>
      <c r="C51" s="16">
        <f t="shared" si="4"/>
        <v>184.55420039987015</v>
      </c>
      <c r="D51" s="16">
        <f t="shared" si="7"/>
        <v>754.1570889100301</v>
      </c>
      <c r="E51" s="16">
        <f t="shared" si="1"/>
        <v>938.71128930990028</v>
      </c>
      <c r="F51" s="16">
        <f t="shared" si="2"/>
        <v>17701.262951076988</v>
      </c>
    </row>
    <row r="52" spans="1:6" x14ac:dyDescent="0.35">
      <c r="A52" s="15">
        <v>40</v>
      </c>
      <c r="B52" s="16">
        <f t="shared" si="0"/>
        <v>17701.262951076988</v>
      </c>
      <c r="C52" s="16">
        <f t="shared" si="4"/>
        <v>177.01262951076987</v>
      </c>
      <c r="D52" s="16">
        <f t="shared" si="7"/>
        <v>761.69865979913038</v>
      </c>
      <c r="E52" s="16">
        <f t="shared" si="1"/>
        <v>938.71128930990028</v>
      </c>
      <c r="F52" s="16">
        <f t="shared" si="2"/>
        <v>16939.564291277857</v>
      </c>
    </row>
    <row r="53" spans="1:6" x14ac:dyDescent="0.35">
      <c r="A53" s="15">
        <v>41</v>
      </c>
      <c r="B53" s="16">
        <f t="shared" si="0"/>
        <v>16939.564291277857</v>
      </c>
      <c r="C53" s="16">
        <f t="shared" si="4"/>
        <v>169.39564291277856</v>
      </c>
      <c r="D53" s="16">
        <f t="shared" si="7"/>
        <v>769.31564639712178</v>
      </c>
      <c r="E53" s="16">
        <f t="shared" si="1"/>
        <v>938.71128930990028</v>
      </c>
      <c r="F53" s="16">
        <f t="shared" si="2"/>
        <v>16170.248644880736</v>
      </c>
    </row>
    <row r="54" spans="1:6" x14ac:dyDescent="0.35">
      <c r="A54" s="15">
        <v>42</v>
      </c>
      <c r="B54" s="16">
        <f t="shared" si="0"/>
        <v>16170.248644880736</v>
      </c>
      <c r="C54" s="16">
        <f t="shared" si="4"/>
        <v>161.70248644880735</v>
      </c>
      <c r="D54" s="16">
        <f t="shared" si="7"/>
        <v>777.00880286109293</v>
      </c>
      <c r="E54" s="16">
        <f t="shared" si="1"/>
        <v>938.71128930990028</v>
      </c>
      <c r="F54" s="16">
        <f t="shared" si="2"/>
        <v>15393.239842019642</v>
      </c>
    </row>
    <row r="55" spans="1:6" x14ac:dyDescent="0.35">
      <c r="A55" s="15">
        <v>43</v>
      </c>
      <c r="B55" s="16">
        <f t="shared" si="0"/>
        <v>15393.239842019642</v>
      </c>
      <c r="C55" s="16">
        <f t="shared" si="4"/>
        <v>153.93239842019642</v>
      </c>
      <c r="D55" s="16">
        <f t="shared" si="7"/>
        <v>784.77889088970392</v>
      </c>
      <c r="E55" s="16">
        <f t="shared" si="1"/>
        <v>938.71128930990028</v>
      </c>
      <c r="F55" s="16">
        <f t="shared" si="2"/>
        <v>14608.460951129939</v>
      </c>
    </row>
    <row r="56" spans="1:6" x14ac:dyDescent="0.35">
      <c r="A56" s="15">
        <v>44</v>
      </c>
      <c r="B56" s="16">
        <f t="shared" si="0"/>
        <v>14608.460951129939</v>
      </c>
      <c r="C56" s="16">
        <f t="shared" si="4"/>
        <v>146.08460951129936</v>
      </c>
      <c r="D56" s="16">
        <f t="shared" si="7"/>
        <v>792.62667979860089</v>
      </c>
      <c r="E56" s="16">
        <f t="shared" si="1"/>
        <v>938.71128930990028</v>
      </c>
      <c r="F56" s="16">
        <f t="shared" si="2"/>
        <v>13815.834271331338</v>
      </c>
    </row>
    <row r="57" spans="1:6" x14ac:dyDescent="0.35">
      <c r="A57" s="15">
        <v>45</v>
      </c>
      <c r="B57" s="16">
        <f t="shared" si="0"/>
        <v>13815.834271331338</v>
      </c>
      <c r="C57" s="16">
        <f t="shared" si="4"/>
        <v>138.15834271331337</v>
      </c>
      <c r="D57" s="16">
        <f t="shared" si="7"/>
        <v>800.55294659658693</v>
      </c>
      <c r="E57" s="16">
        <f t="shared" si="1"/>
        <v>938.71128930990028</v>
      </c>
      <c r="F57" s="16">
        <f t="shared" si="2"/>
        <v>13015.281324734751</v>
      </c>
    </row>
    <row r="58" spans="1:6" x14ac:dyDescent="0.35">
      <c r="A58" s="15">
        <v>46</v>
      </c>
      <c r="B58" s="16">
        <f t="shared" si="0"/>
        <v>13015.281324734751</v>
      </c>
      <c r="C58" s="16">
        <f t="shared" si="4"/>
        <v>130.1528132473475</v>
      </c>
      <c r="D58" s="16">
        <f t="shared" si="7"/>
        <v>808.55847606255281</v>
      </c>
      <c r="E58" s="16">
        <f t="shared" si="1"/>
        <v>938.71128930990028</v>
      </c>
      <c r="F58" s="16">
        <f t="shared" si="2"/>
        <v>12206.722848672198</v>
      </c>
    </row>
    <row r="59" spans="1:6" x14ac:dyDescent="0.35">
      <c r="A59" s="15">
        <v>47</v>
      </c>
      <c r="B59" s="16">
        <f t="shared" si="0"/>
        <v>12206.722848672198</v>
      </c>
      <c r="C59" s="16">
        <f t="shared" si="4"/>
        <v>122.06722848672199</v>
      </c>
      <c r="D59" s="16">
        <f t="shared" si="7"/>
        <v>816.64406082317828</v>
      </c>
      <c r="E59" s="16">
        <f t="shared" si="1"/>
        <v>938.71128930990028</v>
      </c>
      <c r="F59" s="16">
        <f t="shared" si="2"/>
        <v>11390.078787849019</v>
      </c>
    </row>
    <row r="60" spans="1:6" x14ac:dyDescent="0.35">
      <c r="A60" s="15">
        <v>48</v>
      </c>
      <c r="B60" s="16">
        <f t="shared" si="0"/>
        <v>11390.078787849019</v>
      </c>
      <c r="C60" s="16">
        <f t="shared" si="4"/>
        <v>113.90078787849018</v>
      </c>
      <c r="D60" s="16">
        <f t="shared" si="7"/>
        <v>824.8105014314101</v>
      </c>
      <c r="E60" s="16">
        <f t="shared" si="1"/>
        <v>938.71128930990028</v>
      </c>
      <c r="F60" s="16">
        <f t="shared" si="2"/>
        <v>10565.268286417609</v>
      </c>
    </row>
    <row r="61" spans="1:6" x14ac:dyDescent="0.35">
      <c r="A61" s="15">
        <v>49</v>
      </c>
      <c r="B61" s="16">
        <f t="shared" si="0"/>
        <v>10565.268286417609</v>
      </c>
      <c r="C61" s="16">
        <f t="shared" si="4"/>
        <v>105.65268286417609</v>
      </c>
      <c r="D61" s="16">
        <f t="shared" si="7"/>
        <v>833.05860644572419</v>
      </c>
      <c r="E61" s="16">
        <f t="shared" si="1"/>
        <v>938.71128930990028</v>
      </c>
      <c r="F61" s="16">
        <f t="shared" si="2"/>
        <v>9732.2096799718856</v>
      </c>
    </row>
    <row r="62" spans="1:6" x14ac:dyDescent="0.35">
      <c r="A62" s="15">
        <v>50</v>
      </c>
      <c r="B62" s="16">
        <f t="shared" si="0"/>
        <v>9732.2096799718856</v>
      </c>
      <c r="C62" s="16">
        <f t="shared" si="4"/>
        <v>97.32209679971885</v>
      </c>
      <c r="D62" s="16">
        <f t="shared" si="7"/>
        <v>841.38919251018137</v>
      </c>
      <c r="E62" s="16">
        <f t="shared" si="1"/>
        <v>938.71128930990028</v>
      </c>
      <c r="F62" s="16">
        <f t="shared" si="2"/>
        <v>8890.820487461704</v>
      </c>
    </row>
    <row r="63" spans="1:6" x14ac:dyDescent="0.35">
      <c r="A63" s="15">
        <v>51</v>
      </c>
      <c r="B63" s="16">
        <f t="shared" si="0"/>
        <v>8890.820487461704</v>
      </c>
      <c r="C63" s="16">
        <f t="shared" si="4"/>
        <v>88.908204874617027</v>
      </c>
      <c r="D63" s="16">
        <f t="shared" si="7"/>
        <v>849.80308443528327</v>
      </c>
      <c r="E63" s="16">
        <f t="shared" si="1"/>
        <v>938.71128930990028</v>
      </c>
      <c r="F63" s="16">
        <f t="shared" si="2"/>
        <v>8041.0174030264207</v>
      </c>
    </row>
    <row r="64" spans="1:6" x14ac:dyDescent="0.35">
      <c r="A64" s="15">
        <v>52</v>
      </c>
      <c r="B64" s="16">
        <f t="shared" si="0"/>
        <v>8041.0174030264207</v>
      </c>
      <c r="C64" s="16">
        <f t="shared" si="4"/>
        <v>80.410174030264201</v>
      </c>
      <c r="D64" s="16">
        <f t="shared" si="7"/>
        <v>858.30111527963606</v>
      </c>
      <c r="E64" s="16">
        <f t="shared" si="1"/>
        <v>938.71128930990028</v>
      </c>
      <c r="F64" s="16">
        <f t="shared" si="2"/>
        <v>7182.7162877467845</v>
      </c>
    </row>
    <row r="65" spans="1:6" x14ac:dyDescent="0.35">
      <c r="A65" s="15">
        <v>53</v>
      </c>
      <c r="B65" s="16">
        <f t="shared" si="0"/>
        <v>7182.7162877467845</v>
      </c>
      <c r="C65" s="16">
        <f t="shared" si="4"/>
        <v>71.827162877467842</v>
      </c>
      <c r="D65" s="16">
        <f t="shared" si="7"/>
        <v>866.88412643243248</v>
      </c>
      <c r="E65" s="16">
        <f t="shared" si="1"/>
        <v>938.71128930990028</v>
      </c>
      <c r="F65" s="16">
        <f t="shared" si="2"/>
        <v>6315.8321613143517</v>
      </c>
    </row>
    <row r="66" spans="1:6" x14ac:dyDescent="0.35">
      <c r="A66" s="15">
        <v>54</v>
      </c>
      <c r="B66" s="16">
        <f t="shared" si="0"/>
        <v>6315.8321613143517</v>
      </c>
      <c r="C66" s="16">
        <f t="shared" si="4"/>
        <v>63.158321613143521</v>
      </c>
      <c r="D66" s="16">
        <f t="shared" si="7"/>
        <v>875.55296769675681</v>
      </c>
      <c r="E66" s="16">
        <f t="shared" si="1"/>
        <v>938.71128930990028</v>
      </c>
      <c r="F66" s="16">
        <f t="shared" si="2"/>
        <v>5440.2791936175945</v>
      </c>
    </row>
    <row r="67" spans="1:6" x14ac:dyDescent="0.35">
      <c r="A67" s="15">
        <v>55</v>
      </c>
      <c r="B67" s="16">
        <f t="shared" si="0"/>
        <v>5440.2791936175945</v>
      </c>
      <c r="C67" s="16">
        <f t="shared" si="4"/>
        <v>54.402791936175937</v>
      </c>
      <c r="D67" s="16">
        <f t="shared" si="7"/>
        <v>884.30849737372432</v>
      </c>
      <c r="E67" s="16">
        <f t="shared" si="1"/>
        <v>938.71128930990028</v>
      </c>
      <c r="F67" s="16">
        <f t="shared" si="2"/>
        <v>4555.9706962438704</v>
      </c>
    </row>
    <row r="68" spans="1:6" x14ac:dyDescent="0.35">
      <c r="A68" s="15">
        <v>56</v>
      </c>
      <c r="B68" s="16">
        <f t="shared" si="0"/>
        <v>4555.9706962438704</v>
      </c>
      <c r="C68" s="16">
        <f t="shared" si="4"/>
        <v>45.559706962438703</v>
      </c>
      <c r="D68" s="16">
        <f t="shared" si="7"/>
        <v>893.15158234746161</v>
      </c>
      <c r="E68" s="16">
        <f t="shared" si="1"/>
        <v>938.71128930990028</v>
      </c>
      <c r="F68" s="16">
        <f t="shared" si="2"/>
        <v>3662.8191138964089</v>
      </c>
    </row>
    <row r="69" spans="1:6" x14ac:dyDescent="0.35">
      <c r="A69" s="15">
        <v>57</v>
      </c>
      <c r="B69" s="16">
        <f t="shared" si="0"/>
        <v>3662.8191138964089</v>
      </c>
      <c r="C69" s="16">
        <f t="shared" si="4"/>
        <v>36.628191138964091</v>
      </c>
      <c r="D69" s="16">
        <f t="shared" si="7"/>
        <v>902.08309817093618</v>
      </c>
      <c r="E69" s="16">
        <f t="shared" si="1"/>
        <v>938.71128930990028</v>
      </c>
      <c r="F69" s="16">
        <f t="shared" si="2"/>
        <v>2760.7360157254725</v>
      </c>
    </row>
    <row r="70" spans="1:6" x14ac:dyDescent="0.35">
      <c r="A70" s="15">
        <v>58</v>
      </c>
      <c r="B70" s="16">
        <f t="shared" si="0"/>
        <v>2760.7360157254725</v>
      </c>
      <c r="C70" s="16">
        <f t="shared" si="4"/>
        <v>27.607360157254721</v>
      </c>
      <c r="D70" s="16">
        <f t="shared" si="7"/>
        <v>911.10392915264561</v>
      </c>
      <c r="E70" s="16">
        <f t="shared" si="1"/>
        <v>938.71128930990028</v>
      </c>
      <c r="F70" s="16">
        <f t="shared" si="2"/>
        <v>1849.6320865728269</v>
      </c>
    </row>
    <row r="71" spans="1:6" x14ac:dyDescent="0.35">
      <c r="A71" s="15">
        <v>59</v>
      </c>
      <c r="B71" s="16">
        <f t="shared" si="0"/>
        <v>1849.6320865728269</v>
      </c>
      <c r="C71" s="16">
        <f t="shared" si="4"/>
        <v>18.496320865728269</v>
      </c>
      <c r="D71" s="16">
        <f t="shared" si="7"/>
        <v>920.21496844417197</v>
      </c>
      <c r="E71" s="16">
        <f t="shared" si="1"/>
        <v>938.71128930990028</v>
      </c>
      <c r="F71" s="16">
        <f t="shared" si="2"/>
        <v>929.41711812865492</v>
      </c>
    </row>
    <row r="72" spans="1:6" x14ac:dyDescent="0.35">
      <c r="A72" s="15">
        <v>60</v>
      </c>
      <c r="B72" s="16">
        <f t="shared" si="0"/>
        <v>929.41711812865492</v>
      </c>
      <c r="C72" s="16">
        <f t="shared" si="4"/>
        <v>9.2941711812865488</v>
      </c>
      <c r="D72" s="16">
        <f t="shared" si="7"/>
        <v>929.41711812861377</v>
      </c>
      <c r="E72" s="16">
        <f t="shared" si="1"/>
        <v>938.71128930990028</v>
      </c>
      <c r="F72" s="16">
        <f t="shared" si="2"/>
        <v>4.1154635255225003E-11</v>
      </c>
    </row>
    <row r="73" spans="1:6" ht="15" thickBot="1" x14ac:dyDescent="0.4">
      <c r="A73" s="17" t="s">
        <v>19</v>
      </c>
      <c r="B73" s="9"/>
      <c r="C73" s="9">
        <f>SUM(C13:C72)</f>
        <v>14122.875295311414</v>
      </c>
      <c r="D73" s="9">
        <f t="shared" ref="D73:E73" si="8">SUM(D13:D72)</f>
        <v>42199.802063282601</v>
      </c>
      <c r="E73" s="9">
        <f t="shared" si="8"/>
        <v>56322.677358594105</v>
      </c>
      <c r="F73" s="3"/>
    </row>
    <row r="74" spans="1:6" ht="15" thickTop="1" x14ac:dyDescent="0.35">
      <c r="A74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79D96-0CD6-4D6F-9E7C-8D2A75676586}">
  <dimension ref="A1:J40"/>
  <sheetViews>
    <sheetView showGridLines="0" tabSelected="1" topLeftCell="A24" zoomScale="89" workbookViewId="0">
      <selection activeCell="J28" sqref="J28"/>
    </sheetView>
  </sheetViews>
  <sheetFormatPr baseColWidth="10" defaultColWidth="11.54296875" defaultRowHeight="14.5" x14ac:dyDescent="0.35"/>
  <cols>
    <col min="1" max="1" width="28.1796875" bestFit="1" customWidth="1"/>
    <col min="2" max="2" width="9.1796875" bestFit="1" customWidth="1"/>
    <col min="3" max="3" width="7.7265625" bestFit="1" customWidth="1"/>
    <col min="4" max="7" width="8.6328125" bestFit="1" customWidth="1"/>
    <col min="8" max="8" width="7.54296875" bestFit="1" customWidth="1"/>
    <col min="9" max="9" width="8.6328125" bestFit="1" customWidth="1"/>
    <col min="10" max="10" width="15.90625" bestFit="1" customWidth="1"/>
  </cols>
  <sheetData>
    <row r="1" spans="1:8" x14ac:dyDescent="0.35">
      <c r="A1" s="49" t="s">
        <v>168</v>
      </c>
    </row>
    <row r="2" spans="1:8" x14ac:dyDescent="0.35">
      <c r="A2" t="s">
        <v>170</v>
      </c>
    </row>
    <row r="3" spans="1:8" x14ac:dyDescent="0.35">
      <c r="A3" t="s">
        <v>88</v>
      </c>
    </row>
    <row r="4" spans="1:8" x14ac:dyDescent="0.35">
      <c r="A4" t="s">
        <v>42</v>
      </c>
    </row>
    <row r="6" spans="1:8" x14ac:dyDescent="0.35">
      <c r="A6" s="2" t="s">
        <v>56</v>
      </c>
      <c r="B6" s="2"/>
      <c r="C6" s="53">
        <v>0</v>
      </c>
      <c r="D6" s="53">
        <v>1</v>
      </c>
      <c r="E6" s="53">
        <v>2</v>
      </c>
      <c r="F6" s="53">
        <v>3</v>
      </c>
      <c r="G6" s="53">
        <v>4</v>
      </c>
      <c r="H6" s="53">
        <v>5</v>
      </c>
    </row>
    <row r="7" spans="1:8" x14ac:dyDescent="0.35">
      <c r="A7" t="s">
        <v>171</v>
      </c>
      <c r="B7" s="5">
        <f>Supuestos!B7</f>
        <v>10</v>
      </c>
      <c r="C7" s="42"/>
      <c r="D7" s="42">
        <f>$B$7</f>
        <v>10</v>
      </c>
      <c r="E7" s="42">
        <f t="shared" ref="E7:H7" si="0">$B$7</f>
        <v>10</v>
      </c>
      <c r="F7" s="42">
        <f t="shared" si="0"/>
        <v>10</v>
      </c>
      <c r="G7" s="42">
        <f t="shared" si="0"/>
        <v>10</v>
      </c>
      <c r="H7" s="42">
        <f t="shared" si="0"/>
        <v>10</v>
      </c>
    </row>
    <row r="8" spans="1:8" x14ac:dyDescent="0.35">
      <c r="A8" t="s">
        <v>112</v>
      </c>
      <c r="B8" s="1">
        <f>Supuestos!B8*(1-Supuestos!B10)</f>
        <v>22.400000000000002</v>
      </c>
      <c r="C8" s="42"/>
      <c r="D8" s="43">
        <f>$B$8*D7</f>
        <v>224.00000000000003</v>
      </c>
      <c r="E8" s="43">
        <f t="shared" ref="E8:H8" si="1">$B$8*E7</f>
        <v>224.00000000000003</v>
      </c>
      <c r="F8" s="43">
        <f t="shared" si="1"/>
        <v>224.00000000000003</v>
      </c>
      <c r="G8" s="43">
        <f t="shared" si="1"/>
        <v>224.00000000000003</v>
      </c>
      <c r="H8" s="43">
        <f t="shared" si="1"/>
        <v>224.00000000000003</v>
      </c>
    </row>
    <row r="9" spans="1:8" x14ac:dyDescent="0.35">
      <c r="A9" t="s">
        <v>113</v>
      </c>
      <c r="B9" s="5">
        <f>Supuestos!B9</f>
        <v>1156.9926146178966</v>
      </c>
      <c r="C9" s="42"/>
      <c r="D9" s="42">
        <f>$B$9</f>
        <v>1156.9926146178966</v>
      </c>
      <c r="E9" s="42">
        <f t="shared" ref="E9:H9" si="2">$B$9</f>
        <v>1156.9926146178966</v>
      </c>
      <c r="F9" s="42">
        <f t="shared" si="2"/>
        <v>1156.9926146178966</v>
      </c>
      <c r="G9" s="42">
        <f t="shared" si="2"/>
        <v>1156.9926146178966</v>
      </c>
      <c r="H9" s="42">
        <f t="shared" si="2"/>
        <v>1156.9926146178966</v>
      </c>
    </row>
    <row r="10" spans="1:8" x14ac:dyDescent="0.35">
      <c r="A10" s="2" t="s">
        <v>89</v>
      </c>
      <c r="B10" s="10"/>
      <c r="C10" s="44"/>
      <c r="D10" s="45">
        <f>D9*D8</f>
        <v>259166.34567440886</v>
      </c>
      <c r="E10" s="45">
        <f t="shared" ref="E10:H10" si="3">E9*E8</f>
        <v>259166.34567440886</v>
      </c>
      <c r="F10" s="45">
        <f t="shared" si="3"/>
        <v>259166.34567440886</v>
      </c>
      <c r="G10" s="45">
        <f t="shared" si="3"/>
        <v>259166.34567440886</v>
      </c>
      <c r="H10" s="45">
        <f t="shared" si="3"/>
        <v>259166.34567440886</v>
      </c>
    </row>
    <row r="11" spans="1:8" x14ac:dyDescent="0.35">
      <c r="B11" s="5"/>
      <c r="C11" s="42"/>
      <c r="D11" s="46"/>
      <c r="E11" s="46"/>
      <c r="F11" s="46"/>
      <c r="G11" s="46"/>
      <c r="H11" s="46"/>
    </row>
    <row r="12" spans="1:8" x14ac:dyDescent="0.35">
      <c r="A12" t="s">
        <v>90</v>
      </c>
      <c r="B12" s="5">
        <f>'Costos Detallados'!E46</f>
        <v>105</v>
      </c>
      <c r="C12" s="42"/>
      <c r="D12" s="43">
        <f>$B$12*D8</f>
        <v>23520.000000000004</v>
      </c>
      <c r="E12" s="43">
        <f>$B$12*E8</f>
        <v>23520.000000000004</v>
      </c>
      <c r="F12" s="43">
        <f>$B$12*F8</f>
        <v>23520.000000000004</v>
      </c>
      <c r="G12" s="43">
        <f>$B$12*G8</f>
        <v>23520.000000000004</v>
      </c>
      <c r="H12" s="43">
        <f>$B$12*H8</f>
        <v>23520.000000000004</v>
      </c>
    </row>
    <row r="13" spans="1:8" x14ac:dyDescent="0.35">
      <c r="A13" t="s">
        <v>154</v>
      </c>
      <c r="B13" s="5">
        <f>'Costos Detallados'!B13</f>
        <v>3469.9802063282632</v>
      </c>
      <c r="C13" s="43"/>
      <c r="D13" s="43">
        <f>$B$13*D7</f>
        <v>34699.80206328263</v>
      </c>
      <c r="E13" s="43">
        <f t="shared" ref="E13:H13" si="4">$B$13*E7</f>
        <v>34699.80206328263</v>
      </c>
      <c r="F13" s="43">
        <f t="shared" si="4"/>
        <v>34699.80206328263</v>
      </c>
      <c r="G13" s="43">
        <f t="shared" si="4"/>
        <v>34699.80206328263</v>
      </c>
      <c r="H13" s="43">
        <f t="shared" si="4"/>
        <v>34699.80206328263</v>
      </c>
    </row>
    <row r="14" spans="1:8" x14ac:dyDescent="0.35">
      <c r="A14" t="s">
        <v>155</v>
      </c>
      <c r="B14" s="5">
        <f>'Costos Detallados'!E56</f>
        <v>750</v>
      </c>
      <c r="C14" s="43"/>
      <c r="D14" s="43">
        <f>$B$14*D7</f>
        <v>7500</v>
      </c>
      <c r="E14" s="43">
        <f>$B$14*E7</f>
        <v>7500</v>
      </c>
      <c r="F14" s="43">
        <f t="shared" ref="F14:H14" si="5">$B$14*F7</f>
        <v>7500</v>
      </c>
      <c r="G14" s="43">
        <f t="shared" si="5"/>
        <v>7500</v>
      </c>
      <c r="H14" s="43">
        <f t="shared" si="5"/>
        <v>7500</v>
      </c>
    </row>
    <row r="15" spans="1:8" x14ac:dyDescent="0.35">
      <c r="A15" s="2" t="s">
        <v>92</v>
      </c>
      <c r="B15" s="10"/>
      <c r="C15" s="44"/>
      <c r="D15" s="45">
        <f>SUM(D12:D14)</f>
        <v>65719.802063282637</v>
      </c>
      <c r="E15" s="45">
        <f>SUM(E12:E14)</f>
        <v>65719.802063282637</v>
      </c>
      <c r="F15" s="45">
        <f>SUM(F12:F14)</f>
        <v>65719.802063282637</v>
      </c>
      <c r="G15" s="45">
        <f>SUM(G12:G14)</f>
        <v>65719.802063282637</v>
      </c>
      <c r="H15" s="45">
        <f>SUM(H12:H14)</f>
        <v>65719.802063282637</v>
      </c>
    </row>
    <row r="16" spans="1:8" x14ac:dyDescent="0.35">
      <c r="A16" t="s">
        <v>32</v>
      </c>
      <c r="B16" s="73"/>
      <c r="C16" s="42"/>
      <c r="D16" s="46">
        <f>'Inversión Equipo e Infraestruct'!E9</f>
        <v>2200</v>
      </c>
      <c r="E16" s="46">
        <f>'Inversión Equipo e Infraestruct'!F9</f>
        <v>2200</v>
      </c>
      <c r="F16" s="46">
        <f>'Inversión Equipo e Infraestruct'!G9</f>
        <v>2200</v>
      </c>
      <c r="G16" s="46">
        <f>'Inversión Equipo e Infraestruct'!H9</f>
        <v>2200</v>
      </c>
      <c r="H16" s="46">
        <f>'Inversión Equipo e Infraestruct'!I9</f>
        <v>2200</v>
      </c>
    </row>
    <row r="17" spans="1:10" x14ac:dyDescent="0.35">
      <c r="A17" t="s">
        <v>93</v>
      </c>
      <c r="B17" s="5"/>
      <c r="C17" s="42"/>
      <c r="D17" s="43">
        <f>'Amortización Deuda'!P13</f>
        <v>4711.317884762957</v>
      </c>
      <c r="E17" s="43">
        <f>'Amortización Deuda'!Q13</f>
        <v>3880.2058668359282</v>
      </c>
      <c r="F17" s="43">
        <f>'Amortización Deuda'!R13</f>
        <v>2943.6880421922619</v>
      </c>
      <c r="G17" s="43">
        <f>'Amortización Deuda'!S13</f>
        <v>1888.3963162190348</v>
      </c>
      <c r="H17" s="43">
        <f>'Amortización Deuda'!T13</f>
        <v>699.26718530123571</v>
      </c>
    </row>
    <row r="18" spans="1:10" ht="15" thickBot="1" x14ac:dyDescent="0.4">
      <c r="A18" s="3" t="s">
        <v>94</v>
      </c>
      <c r="B18" s="7"/>
      <c r="C18" s="47"/>
      <c r="D18" s="48">
        <f>+SUM(D15:D17)</f>
        <v>72631.119948045598</v>
      </c>
      <c r="E18" s="48">
        <f t="shared" ref="E18:H18" si="6">+SUM(E15:E17)</f>
        <v>71800.007930118561</v>
      </c>
      <c r="F18" s="48">
        <f t="shared" si="6"/>
        <v>70863.490105474906</v>
      </c>
      <c r="G18" s="48">
        <f t="shared" si="6"/>
        <v>69808.198379501671</v>
      </c>
      <c r="H18" s="48">
        <f t="shared" si="6"/>
        <v>68619.069248583866</v>
      </c>
    </row>
    <row r="19" spans="1:10" ht="15" thickTop="1" x14ac:dyDescent="0.35">
      <c r="A19" t="s">
        <v>95</v>
      </c>
      <c r="B19" s="6">
        <v>0.2</v>
      </c>
      <c r="C19" s="6"/>
      <c r="D19" s="43">
        <f>D18*$B$19</f>
        <v>14526.22398960912</v>
      </c>
      <c r="E19" s="43">
        <f>E18*$B$19</f>
        <v>14360.001586023713</v>
      </c>
      <c r="F19" s="43">
        <f>F18*$B$19</f>
        <v>14172.698021094982</v>
      </c>
      <c r="G19" s="43">
        <f>G18*$B$19</f>
        <v>13961.639675900335</v>
      </c>
      <c r="H19" s="43">
        <f>H18*$B$19</f>
        <v>13723.813849716775</v>
      </c>
      <c r="J19" s="1">
        <f>D20*500</f>
        <v>29052447.979218241</v>
      </c>
    </row>
    <row r="20" spans="1:10" ht="15" thickBot="1" x14ac:dyDescent="0.4">
      <c r="A20" s="3" t="s">
        <v>96</v>
      </c>
      <c r="B20" s="47"/>
      <c r="C20" s="47"/>
      <c r="D20" s="48">
        <f>D18-D19</f>
        <v>58104.895958436478</v>
      </c>
      <c r="E20" s="48">
        <f t="shared" ref="E20:H20" si="7">E18-E19</f>
        <v>57440.006344094851</v>
      </c>
      <c r="F20" s="48">
        <f t="shared" si="7"/>
        <v>56690.792084379922</v>
      </c>
      <c r="G20" s="48">
        <f t="shared" si="7"/>
        <v>55846.558703601338</v>
      </c>
      <c r="H20" s="48">
        <f t="shared" si="7"/>
        <v>54895.255398867092</v>
      </c>
    </row>
    <row r="21" spans="1:10" ht="15" thickTop="1" x14ac:dyDescent="0.35">
      <c r="A21" t="s">
        <v>97</v>
      </c>
      <c r="B21" s="42"/>
      <c r="C21" s="42"/>
      <c r="D21" s="42"/>
      <c r="E21" s="42"/>
      <c r="F21" s="42"/>
      <c r="G21" s="42"/>
      <c r="H21" s="42"/>
    </row>
    <row r="22" spans="1:10" x14ac:dyDescent="0.35">
      <c r="A22" t="s">
        <v>158</v>
      </c>
      <c r="B22" s="42"/>
      <c r="C22" s="42"/>
      <c r="D22" s="42">
        <f>D16</f>
        <v>2200</v>
      </c>
      <c r="E22" s="42">
        <f t="shared" ref="E22:H22" si="8">E16</f>
        <v>2200</v>
      </c>
      <c r="F22" s="42">
        <f t="shared" si="8"/>
        <v>2200</v>
      </c>
      <c r="G22" s="42">
        <f t="shared" si="8"/>
        <v>2200</v>
      </c>
      <c r="H22" s="42">
        <f t="shared" si="8"/>
        <v>2200</v>
      </c>
    </row>
    <row r="23" spans="1:10" x14ac:dyDescent="0.35">
      <c r="A23" t="s">
        <v>98</v>
      </c>
      <c r="C23" s="42">
        <f>'Amortización Deuda'!B6</f>
        <v>42199.80206328263</v>
      </c>
      <c r="D23" s="42"/>
      <c r="E23" s="42"/>
      <c r="F23" s="42"/>
      <c r="G23" s="42"/>
      <c r="H23" s="42"/>
    </row>
    <row r="24" spans="1:10" x14ac:dyDescent="0.35">
      <c r="A24" t="s">
        <v>99</v>
      </c>
      <c r="C24" s="42"/>
      <c r="D24" s="42"/>
      <c r="E24" s="42"/>
      <c r="F24" s="42"/>
      <c r="G24" s="42"/>
      <c r="H24" s="42"/>
    </row>
    <row r="25" spans="1:10" x14ac:dyDescent="0.35">
      <c r="A25" t="s">
        <v>91</v>
      </c>
      <c r="C25" s="42"/>
      <c r="D25" s="42"/>
      <c r="E25" s="42"/>
      <c r="F25" s="42"/>
      <c r="G25" s="42"/>
      <c r="H25" s="42"/>
    </row>
    <row r="26" spans="1:10" x14ac:dyDescent="0.35">
      <c r="A26" t="s">
        <v>100</v>
      </c>
      <c r="C26" s="42">
        <f>-'Costos Detallados'!C15</f>
        <v>-42199.80206328263</v>
      </c>
      <c r="D26" s="42"/>
      <c r="E26" s="42"/>
      <c r="F26" s="42"/>
      <c r="G26" s="42"/>
      <c r="H26" s="42"/>
    </row>
    <row r="27" spans="1:10" x14ac:dyDescent="0.35">
      <c r="A27" t="s">
        <v>101</v>
      </c>
      <c r="B27" s="42"/>
      <c r="C27" s="42"/>
      <c r="D27" s="43">
        <f>-'Amortización Deuda'!P14</f>
        <v>-6553.2175869558459</v>
      </c>
      <c r="E27" s="43">
        <f>-'Amortización Deuda'!Q14</f>
        <v>-7384.3296048828761</v>
      </c>
      <c r="F27" s="43">
        <f>-'Amortización Deuda'!R14</f>
        <v>-8320.8474295265423</v>
      </c>
      <c r="G27" s="43">
        <f>-'Amortización Deuda'!S14</f>
        <v>-9376.1391554997663</v>
      </c>
      <c r="H27" s="43">
        <f>-'Amortización Deuda'!T14</f>
        <v>-10565.268286417569</v>
      </c>
    </row>
    <row r="28" spans="1:10" ht="15" thickBot="1" x14ac:dyDescent="0.4">
      <c r="A28" s="48" t="s">
        <v>102</v>
      </c>
      <c r="B28" s="48"/>
      <c r="C28" s="48">
        <f>SUM(C23:C27)</f>
        <v>0</v>
      </c>
      <c r="D28" s="48">
        <f>SUM(D20:D27)</f>
        <v>53751.67837148063</v>
      </c>
      <c r="E28" s="48">
        <f>SUM(E20:E27)</f>
        <v>52255.676739211973</v>
      </c>
      <c r="F28" s="48">
        <f t="shared" ref="F28:H28" si="9">SUM(F20:F27)</f>
        <v>50569.944654853382</v>
      </c>
      <c r="G28" s="48">
        <f t="shared" si="9"/>
        <v>48670.41954810157</v>
      </c>
      <c r="H28" s="48">
        <f t="shared" si="9"/>
        <v>46529.987112449526</v>
      </c>
      <c r="I28" s="42"/>
    </row>
    <row r="29" spans="1:10" ht="15.5" thickTop="1" thickBot="1" x14ac:dyDescent="0.4">
      <c r="A29" s="48" t="s">
        <v>103</v>
      </c>
      <c r="B29" s="48"/>
      <c r="C29" s="48">
        <f>C28</f>
        <v>0</v>
      </c>
      <c r="D29" s="48">
        <f>D28</f>
        <v>53751.67837148063</v>
      </c>
      <c r="E29" s="48">
        <f>D29+E28</f>
        <v>106007.3551106926</v>
      </c>
      <c r="F29" s="48">
        <f t="shared" ref="F29:H29" si="10">E29+F28</f>
        <v>156577.29976554599</v>
      </c>
      <c r="G29" s="48">
        <f t="shared" si="10"/>
        <v>205247.71931364757</v>
      </c>
      <c r="H29" s="48">
        <f t="shared" si="10"/>
        <v>251777.70642609708</v>
      </c>
    </row>
    <row r="30" spans="1:10" ht="15" thickTop="1" x14ac:dyDescent="0.35"/>
    <row r="31" spans="1:10" x14ac:dyDescent="0.35">
      <c r="A31" t="s">
        <v>104</v>
      </c>
    </row>
    <row r="32" spans="1:10" ht="15" thickBot="1" x14ac:dyDescent="0.4">
      <c r="A32" s="48" t="s">
        <v>105</v>
      </c>
      <c r="B32" s="48"/>
      <c r="C32" s="48">
        <f>C28</f>
        <v>0</v>
      </c>
      <c r="D32" s="48">
        <f>D28</f>
        <v>53751.67837148063</v>
      </c>
      <c r="E32" s="48">
        <f t="shared" ref="E32:H32" si="11">E28</f>
        <v>52255.676739211973</v>
      </c>
      <c r="F32" s="48">
        <f t="shared" si="11"/>
        <v>50569.944654853382</v>
      </c>
      <c r="G32" s="48">
        <f t="shared" si="11"/>
        <v>48670.41954810157</v>
      </c>
      <c r="H32" s="48">
        <f t="shared" si="11"/>
        <v>46529.987112449526</v>
      </c>
    </row>
    <row r="33" spans="1:10" ht="15" thickTop="1" x14ac:dyDescent="0.35">
      <c r="A33" s="46"/>
      <c r="B33" s="46"/>
      <c r="C33" s="46"/>
      <c r="D33" s="46"/>
      <c r="E33" s="46"/>
      <c r="F33" s="46"/>
      <c r="G33" s="46"/>
      <c r="H33" s="46"/>
    </row>
    <row r="34" spans="1:10" ht="15" thickBot="1" x14ac:dyDescent="0.4">
      <c r="A34" s="48" t="s">
        <v>106</v>
      </c>
      <c r="B34" s="48"/>
      <c r="C34" s="48">
        <f>C28-C23+C17</f>
        <v>-42199.80206328263</v>
      </c>
      <c r="D34" s="48">
        <f>D28-D23+D17</f>
        <v>58462.996256243583</v>
      </c>
      <c r="E34" s="48">
        <f t="shared" ref="E34:H34" si="12">E28-E23+E17</f>
        <v>56135.882606047904</v>
      </c>
      <c r="F34" s="48">
        <f t="shared" si="12"/>
        <v>53513.632697045643</v>
      </c>
      <c r="G34" s="48">
        <f t="shared" si="12"/>
        <v>50558.815864320604</v>
      </c>
      <c r="H34" s="48">
        <f t="shared" si="12"/>
        <v>47229.254297750762</v>
      </c>
    </row>
    <row r="35" spans="1:10" ht="15.5" thickTop="1" thickBot="1" x14ac:dyDescent="0.4">
      <c r="A35" s="48" t="s">
        <v>107</v>
      </c>
      <c r="B35" s="48"/>
      <c r="C35" s="48">
        <f>C34</f>
        <v>-42199.80206328263</v>
      </c>
      <c r="D35" s="48">
        <f>C35+D34</f>
        <v>16263.194192960953</v>
      </c>
      <c r="E35" s="48">
        <f t="shared" ref="E35:F35" si="13">D35+E34</f>
        <v>72399.07679900885</v>
      </c>
      <c r="F35" s="48">
        <f t="shared" si="13"/>
        <v>125912.70949605449</v>
      </c>
      <c r="G35" s="48">
        <f>F35+G34</f>
        <v>176471.52536037509</v>
      </c>
      <c r="H35" s="48">
        <f t="shared" ref="H35" si="14">G35+H34</f>
        <v>223700.77965812586</v>
      </c>
    </row>
    <row r="36" spans="1:10" ht="15" thickTop="1" x14ac:dyDescent="0.35">
      <c r="A36" s="49" t="s">
        <v>108</v>
      </c>
      <c r="B36" s="50">
        <f>IRR(C34:H34)</f>
        <v>1.3254579534671209</v>
      </c>
      <c r="J36" s="42"/>
    </row>
    <row r="37" spans="1:10" x14ac:dyDescent="0.35">
      <c r="A37" s="49" t="s">
        <v>109</v>
      </c>
      <c r="B37" s="51">
        <f>SUM(C37:H37)</f>
        <v>151770.61917252163</v>
      </c>
      <c r="C37" s="42">
        <f t="shared" ref="C37:H37" si="15">C34/POWER(1+$B$40,C$6)</f>
        <v>-42199.80206328263</v>
      </c>
      <c r="D37" s="42">
        <f t="shared" si="15"/>
        <v>52199.103800217483</v>
      </c>
      <c r="E37" s="42">
        <f t="shared" si="15"/>
        <v>44751.181924464203</v>
      </c>
      <c r="F37" s="42">
        <f t="shared" si="15"/>
        <v>38089.946742498993</v>
      </c>
      <c r="G37" s="42">
        <f t="shared" si="15"/>
        <v>32131.041504516725</v>
      </c>
      <c r="H37" s="42">
        <f t="shared" si="15"/>
        <v>26799.147264106854</v>
      </c>
    </row>
    <row r="38" spans="1:10" x14ac:dyDescent="0.35">
      <c r="A38" s="49" t="s">
        <v>110</v>
      </c>
      <c r="B38" s="51">
        <f>COUNTIF(C35:H35,"&lt;0")+1</f>
        <v>2</v>
      </c>
    </row>
    <row r="39" spans="1:10" x14ac:dyDescent="0.35">
      <c r="D39" s="42"/>
    </row>
    <row r="40" spans="1:10" x14ac:dyDescent="0.35">
      <c r="A40" s="49" t="s">
        <v>111</v>
      </c>
      <c r="B40" s="52">
        <f>+'Amortización Deuda'!B7</f>
        <v>0.12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9B7A-3762-47C3-8BF0-0968C32221E0}">
  <dimension ref="A1:AI46"/>
  <sheetViews>
    <sheetView showGridLines="0" topLeftCell="A3" workbookViewId="0">
      <selection activeCell="M17" sqref="M17"/>
    </sheetView>
  </sheetViews>
  <sheetFormatPr baseColWidth="10" defaultColWidth="11.54296875" defaultRowHeight="11.5" x14ac:dyDescent="0.25"/>
  <cols>
    <col min="1" max="1" width="30.6328125" style="20" bestFit="1" customWidth="1"/>
    <col min="2" max="2" width="7.6328125" style="20" bestFit="1" customWidth="1"/>
    <col min="3" max="3" width="9.453125" style="20" customWidth="1"/>
    <col min="4" max="4" width="7.6328125" style="20" bestFit="1" customWidth="1"/>
    <col min="5" max="5" width="8.81640625" style="20" customWidth="1"/>
    <col min="6" max="6" width="7.6328125" style="20" bestFit="1" customWidth="1"/>
    <col min="7" max="7" width="9.6328125" style="20" customWidth="1"/>
    <col min="8" max="8" width="8.90625" style="20" bestFit="1" customWidth="1"/>
    <col min="9" max="9" width="9.36328125" style="20" customWidth="1"/>
    <col min="10" max="10" width="7.453125" style="20" bestFit="1" customWidth="1"/>
    <col min="11" max="11" width="9.1796875" style="20" customWidth="1"/>
    <col min="12" max="12" width="7.6328125" style="20" customWidth="1"/>
    <col min="13" max="13" width="9.08984375" style="20" customWidth="1"/>
    <col min="14" max="14" width="12.6328125" style="20" bestFit="1" customWidth="1"/>
    <col min="15" max="15" width="7.08984375" style="20" bestFit="1" customWidth="1"/>
    <col min="16" max="16" width="4.36328125" style="20" bestFit="1" customWidth="1"/>
    <col min="17" max="17" width="12.6328125" style="20" bestFit="1" customWidth="1"/>
    <col min="18" max="18" width="17" style="20" bestFit="1" customWidth="1"/>
    <col min="19" max="20" width="6.54296875" style="20" bestFit="1" customWidth="1"/>
    <col min="21" max="23" width="7.453125" style="20" bestFit="1" customWidth="1"/>
    <col min="24" max="24" width="7.6328125" style="20" bestFit="1" customWidth="1"/>
    <col min="25" max="25" width="11.54296875" style="20"/>
    <col min="26" max="26" width="7.08984375" style="20" bestFit="1" customWidth="1"/>
    <col min="27" max="27" width="4.36328125" style="20" bestFit="1" customWidth="1"/>
    <col min="28" max="29" width="11.453125" style="20" customWidth="1"/>
    <col min="30" max="34" width="7.453125" style="20" bestFit="1" customWidth="1"/>
    <col min="35" max="35" width="7.6328125" style="20" bestFit="1" customWidth="1"/>
    <col min="36" max="256" width="11.54296875" style="20"/>
    <col min="257" max="257" width="30.6328125" style="20" bestFit="1" customWidth="1"/>
    <col min="258" max="263" width="9.90625" style="20" bestFit="1" customWidth="1"/>
    <col min="264" max="267" width="9.6328125" style="20" bestFit="1" customWidth="1"/>
    <col min="268" max="268" width="8.81640625" style="20" bestFit="1" customWidth="1"/>
    <col min="269" max="269" width="9.6328125" style="20" bestFit="1" customWidth="1"/>
    <col min="270" max="270" width="12.6328125" style="20" bestFit="1" customWidth="1"/>
    <col min="271" max="272" width="17" style="20" bestFit="1" customWidth="1"/>
    <col min="273" max="273" width="12.6328125" style="20" bestFit="1" customWidth="1"/>
    <col min="274" max="274" width="17" style="20" bestFit="1" customWidth="1"/>
    <col min="275" max="275" width="17.08984375" style="20" bestFit="1" customWidth="1"/>
    <col min="276" max="276" width="12.81640625" style="20" bestFit="1" customWidth="1"/>
    <col min="277" max="280" width="9.6328125" style="20" bestFit="1" customWidth="1"/>
    <col min="281" max="281" width="11.54296875" style="20"/>
    <col min="282" max="282" width="13.6328125" style="20" bestFit="1" customWidth="1"/>
    <col min="283" max="283" width="4.36328125" style="20" bestFit="1" customWidth="1"/>
    <col min="284" max="285" width="11.453125" style="20" customWidth="1"/>
    <col min="286" max="290" width="9.6328125" style="20" bestFit="1" customWidth="1"/>
    <col min="291" max="291" width="8.6328125" style="20" bestFit="1" customWidth="1"/>
    <col min="292" max="512" width="11.54296875" style="20"/>
    <col min="513" max="513" width="30.6328125" style="20" bestFit="1" customWidth="1"/>
    <col min="514" max="519" width="9.90625" style="20" bestFit="1" customWidth="1"/>
    <col min="520" max="523" width="9.6328125" style="20" bestFit="1" customWidth="1"/>
    <col min="524" max="524" width="8.81640625" style="20" bestFit="1" customWidth="1"/>
    <col min="525" max="525" width="9.6328125" style="20" bestFit="1" customWidth="1"/>
    <col min="526" max="526" width="12.6328125" style="20" bestFit="1" customWidth="1"/>
    <col min="527" max="528" width="17" style="20" bestFit="1" customWidth="1"/>
    <col min="529" max="529" width="12.6328125" style="20" bestFit="1" customWidth="1"/>
    <col min="530" max="530" width="17" style="20" bestFit="1" customWidth="1"/>
    <col min="531" max="531" width="17.08984375" style="20" bestFit="1" customWidth="1"/>
    <col min="532" max="532" width="12.81640625" style="20" bestFit="1" customWidth="1"/>
    <col min="533" max="536" width="9.6328125" style="20" bestFit="1" customWidth="1"/>
    <col min="537" max="537" width="11.54296875" style="20"/>
    <col min="538" max="538" width="13.6328125" style="20" bestFit="1" customWidth="1"/>
    <col min="539" max="539" width="4.36328125" style="20" bestFit="1" customWidth="1"/>
    <col min="540" max="541" width="11.453125" style="20" customWidth="1"/>
    <col min="542" max="546" width="9.6328125" style="20" bestFit="1" customWidth="1"/>
    <col min="547" max="547" width="8.6328125" style="20" bestFit="1" customWidth="1"/>
    <col min="548" max="768" width="11.54296875" style="20"/>
    <col min="769" max="769" width="30.6328125" style="20" bestFit="1" customWidth="1"/>
    <col min="770" max="775" width="9.90625" style="20" bestFit="1" customWidth="1"/>
    <col min="776" max="779" width="9.6328125" style="20" bestFit="1" customWidth="1"/>
    <col min="780" max="780" width="8.81640625" style="20" bestFit="1" customWidth="1"/>
    <col min="781" max="781" width="9.6328125" style="20" bestFit="1" customWidth="1"/>
    <col min="782" max="782" width="12.6328125" style="20" bestFit="1" customWidth="1"/>
    <col min="783" max="784" width="17" style="20" bestFit="1" customWidth="1"/>
    <col min="785" max="785" width="12.6328125" style="20" bestFit="1" customWidth="1"/>
    <col min="786" max="786" width="17" style="20" bestFit="1" customWidth="1"/>
    <col min="787" max="787" width="17.08984375" style="20" bestFit="1" customWidth="1"/>
    <col min="788" max="788" width="12.81640625" style="20" bestFit="1" customWidth="1"/>
    <col min="789" max="792" width="9.6328125" style="20" bestFit="1" customWidth="1"/>
    <col min="793" max="793" width="11.54296875" style="20"/>
    <col min="794" max="794" width="13.6328125" style="20" bestFit="1" customWidth="1"/>
    <col min="795" max="795" width="4.36328125" style="20" bestFit="1" customWidth="1"/>
    <col min="796" max="797" width="11.453125" style="20" customWidth="1"/>
    <col min="798" max="802" width="9.6328125" style="20" bestFit="1" customWidth="1"/>
    <col min="803" max="803" width="8.6328125" style="20" bestFit="1" customWidth="1"/>
    <col min="804" max="1024" width="11.54296875" style="20"/>
    <col min="1025" max="1025" width="30.6328125" style="20" bestFit="1" customWidth="1"/>
    <col min="1026" max="1031" width="9.90625" style="20" bestFit="1" customWidth="1"/>
    <col min="1032" max="1035" width="9.6328125" style="20" bestFit="1" customWidth="1"/>
    <col min="1036" max="1036" width="8.81640625" style="20" bestFit="1" customWidth="1"/>
    <col min="1037" max="1037" width="9.6328125" style="20" bestFit="1" customWidth="1"/>
    <col min="1038" max="1038" width="12.6328125" style="20" bestFit="1" customWidth="1"/>
    <col min="1039" max="1040" width="17" style="20" bestFit="1" customWidth="1"/>
    <col min="1041" max="1041" width="12.6328125" style="20" bestFit="1" customWidth="1"/>
    <col min="1042" max="1042" width="17" style="20" bestFit="1" customWidth="1"/>
    <col min="1043" max="1043" width="17.08984375" style="20" bestFit="1" customWidth="1"/>
    <col min="1044" max="1044" width="12.81640625" style="20" bestFit="1" customWidth="1"/>
    <col min="1045" max="1048" width="9.6328125" style="20" bestFit="1" customWidth="1"/>
    <col min="1049" max="1049" width="11.54296875" style="20"/>
    <col min="1050" max="1050" width="13.6328125" style="20" bestFit="1" customWidth="1"/>
    <col min="1051" max="1051" width="4.36328125" style="20" bestFit="1" customWidth="1"/>
    <col min="1052" max="1053" width="11.453125" style="20" customWidth="1"/>
    <col min="1054" max="1058" width="9.6328125" style="20" bestFit="1" customWidth="1"/>
    <col min="1059" max="1059" width="8.6328125" style="20" bestFit="1" customWidth="1"/>
    <col min="1060" max="1280" width="11.54296875" style="20"/>
    <col min="1281" max="1281" width="30.6328125" style="20" bestFit="1" customWidth="1"/>
    <col min="1282" max="1287" width="9.90625" style="20" bestFit="1" customWidth="1"/>
    <col min="1288" max="1291" width="9.6328125" style="20" bestFit="1" customWidth="1"/>
    <col min="1292" max="1292" width="8.81640625" style="20" bestFit="1" customWidth="1"/>
    <col min="1293" max="1293" width="9.6328125" style="20" bestFit="1" customWidth="1"/>
    <col min="1294" max="1294" width="12.6328125" style="20" bestFit="1" customWidth="1"/>
    <col min="1295" max="1296" width="17" style="20" bestFit="1" customWidth="1"/>
    <col min="1297" max="1297" width="12.6328125" style="20" bestFit="1" customWidth="1"/>
    <col min="1298" max="1298" width="17" style="20" bestFit="1" customWidth="1"/>
    <col min="1299" max="1299" width="17.08984375" style="20" bestFit="1" customWidth="1"/>
    <col min="1300" max="1300" width="12.81640625" style="20" bestFit="1" customWidth="1"/>
    <col min="1301" max="1304" width="9.6328125" style="20" bestFit="1" customWidth="1"/>
    <col min="1305" max="1305" width="11.54296875" style="20"/>
    <col min="1306" max="1306" width="13.6328125" style="20" bestFit="1" customWidth="1"/>
    <col min="1307" max="1307" width="4.36328125" style="20" bestFit="1" customWidth="1"/>
    <col min="1308" max="1309" width="11.453125" style="20" customWidth="1"/>
    <col min="1310" max="1314" width="9.6328125" style="20" bestFit="1" customWidth="1"/>
    <col min="1315" max="1315" width="8.6328125" style="20" bestFit="1" customWidth="1"/>
    <col min="1316" max="1536" width="11.54296875" style="20"/>
    <col min="1537" max="1537" width="30.6328125" style="20" bestFit="1" customWidth="1"/>
    <col min="1538" max="1543" width="9.90625" style="20" bestFit="1" customWidth="1"/>
    <col min="1544" max="1547" width="9.6328125" style="20" bestFit="1" customWidth="1"/>
    <col min="1548" max="1548" width="8.81640625" style="20" bestFit="1" customWidth="1"/>
    <col min="1549" max="1549" width="9.6328125" style="20" bestFit="1" customWidth="1"/>
    <col min="1550" max="1550" width="12.6328125" style="20" bestFit="1" customWidth="1"/>
    <col min="1551" max="1552" width="17" style="20" bestFit="1" customWidth="1"/>
    <col min="1553" max="1553" width="12.6328125" style="20" bestFit="1" customWidth="1"/>
    <col min="1554" max="1554" width="17" style="20" bestFit="1" customWidth="1"/>
    <col min="1555" max="1555" width="17.08984375" style="20" bestFit="1" customWidth="1"/>
    <col min="1556" max="1556" width="12.81640625" style="20" bestFit="1" customWidth="1"/>
    <col min="1557" max="1560" width="9.6328125" style="20" bestFit="1" customWidth="1"/>
    <col min="1561" max="1561" width="11.54296875" style="20"/>
    <col min="1562" max="1562" width="13.6328125" style="20" bestFit="1" customWidth="1"/>
    <col min="1563" max="1563" width="4.36328125" style="20" bestFit="1" customWidth="1"/>
    <col min="1564" max="1565" width="11.453125" style="20" customWidth="1"/>
    <col min="1566" max="1570" width="9.6328125" style="20" bestFit="1" customWidth="1"/>
    <col min="1571" max="1571" width="8.6328125" style="20" bestFit="1" customWidth="1"/>
    <col min="1572" max="1792" width="11.54296875" style="20"/>
    <col min="1793" max="1793" width="30.6328125" style="20" bestFit="1" customWidth="1"/>
    <col min="1794" max="1799" width="9.90625" style="20" bestFit="1" customWidth="1"/>
    <col min="1800" max="1803" width="9.6328125" style="20" bestFit="1" customWidth="1"/>
    <col min="1804" max="1804" width="8.81640625" style="20" bestFit="1" customWidth="1"/>
    <col min="1805" max="1805" width="9.6328125" style="20" bestFit="1" customWidth="1"/>
    <col min="1806" max="1806" width="12.6328125" style="20" bestFit="1" customWidth="1"/>
    <col min="1807" max="1808" width="17" style="20" bestFit="1" customWidth="1"/>
    <col min="1809" max="1809" width="12.6328125" style="20" bestFit="1" customWidth="1"/>
    <col min="1810" max="1810" width="17" style="20" bestFit="1" customWidth="1"/>
    <col min="1811" max="1811" width="17.08984375" style="20" bestFit="1" customWidth="1"/>
    <col min="1812" max="1812" width="12.81640625" style="20" bestFit="1" customWidth="1"/>
    <col min="1813" max="1816" width="9.6328125" style="20" bestFit="1" customWidth="1"/>
    <col min="1817" max="1817" width="11.54296875" style="20"/>
    <col min="1818" max="1818" width="13.6328125" style="20" bestFit="1" customWidth="1"/>
    <col min="1819" max="1819" width="4.36328125" style="20" bestFit="1" customWidth="1"/>
    <col min="1820" max="1821" width="11.453125" style="20" customWidth="1"/>
    <col min="1822" max="1826" width="9.6328125" style="20" bestFit="1" customWidth="1"/>
    <col min="1827" max="1827" width="8.6328125" style="20" bestFit="1" customWidth="1"/>
    <col min="1828" max="2048" width="11.54296875" style="20"/>
    <col min="2049" max="2049" width="30.6328125" style="20" bestFit="1" customWidth="1"/>
    <col min="2050" max="2055" width="9.90625" style="20" bestFit="1" customWidth="1"/>
    <col min="2056" max="2059" width="9.6328125" style="20" bestFit="1" customWidth="1"/>
    <col min="2060" max="2060" width="8.81640625" style="20" bestFit="1" customWidth="1"/>
    <col min="2061" max="2061" width="9.6328125" style="20" bestFit="1" customWidth="1"/>
    <col min="2062" max="2062" width="12.6328125" style="20" bestFit="1" customWidth="1"/>
    <col min="2063" max="2064" width="17" style="20" bestFit="1" customWidth="1"/>
    <col min="2065" max="2065" width="12.6328125" style="20" bestFit="1" customWidth="1"/>
    <col min="2066" max="2066" width="17" style="20" bestFit="1" customWidth="1"/>
    <col min="2067" max="2067" width="17.08984375" style="20" bestFit="1" customWidth="1"/>
    <col min="2068" max="2068" width="12.81640625" style="20" bestFit="1" customWidth="1"/>
    <col min="2069" max="2072" width="9.6328125" style="20" bestFit="1" customWidth="1"/>
    <col min="2073" max="2073" width="11.54296875" style="20"/>
    <col min="2074" max="2074" width="13.6328125" style="20" bestFit="1" customWidth="1"/>
    <col min="2075" max="2075" width="4.36328125" style="20" bestFit="1" customWidth="1"/>
    <col min="2076" max="2077" width="11.453125" style="20" customWidth="1"/>
    <col min="2078" max="2082" width="9.6328125" style="20" bestFit="1" customWidth="1"/>
    <col min="2083" max="2083" width="8.6328125" style="20" bestFit="1" customWidth="1"/>
    <col min="2084" max="2304" width="11.54296875" style="20"/>
    <col min="2305" max="2305" width="30.6328125" style="20" bestFit="1" customWidth="1"/>
    <col min="2306" max="2311" width="9.90625" style="20" bestFit="1" customWidth="1"/>
    <col min="2312" max="2315" width="9.6328125" style="20" bestFit="1" customWidth="1"/>
    <col min="2316" max="2316" width="8.81640625" style="20" bestFit="1" customWidth="1"/>
    <col min="2317" max="2317" width="9.6328125" style="20" bestFit="1" customWidth="1"/>
    <col min="2318" max="2318" width="12.6328125" style="20" bestFit="1" customWidth="1"/>
    <col min="2319" max="2320" width="17" style="20" bestFit="1" customWidth="1"/>
    <col min="2321" max="2321" width="12.6328125" style="20" bestFit="1" customWidth="1"/>
    <col min="2322" max="2322" width="17" style="20" bestFit="1" customWidth="1"/>
    <col min="2323" max="2323" width="17.08984375" style="20" bestFit="1" customWidth="1"/>
    <col min="2324" max="2324" width="12.81640625" style="20" bestFit="1" customWidth="1"/>
    <col min="2325" max="2328" width="9.6328125" style="20" bestFit="1" customWidth="1"/>
    <col min="2329" max="2329" width="11.54296875" style="20"/>
    <col min="2330" max="2330" width="13.6328125" style="20" bestFit="1" customWidth="1"/>
    <col min="2331" max="2331" width="4.36328125" style="20" bestFit="1" customWidth="1"/>
    <col min="2332" max="2333" width="11.453125" style="20" customWidth="1"/>
    <col min="2334" max="2338" width="9.6328125" style="20" bestFit="1" customWidth="1"/>
    <col min="2339" max="2339" width="8.6328125" style="20" bestFit="1" customWidth="1"/>
    <col min="2340" max="2560" width="11.54296875" style="20"/>
    <col min="2561" max="2561" width="30.6328125" style="20" bestFit="1" customWidth="1"/>
    <col min="2562" max="2567" width="9.90625" style="20" bestFit="1" customWidth="1"/>
    <col min="2568" max="2571" width="9.6328125" style="20" bestFit="1" customWidth="1"/>
    <col min="2572" max="2572" width="8.81640625" style="20" bestFit="1" customWidth="1"/>
    <col min="2573" max="2573" width="9.6328125" style="20" bestFit="1" customWidth="1"/>
    <col min="2574" max="2574" width="12.6328125" style="20" bestFit="1" customWidth="1"/>
    <col min="2575" max="2576" width="17" style="20" bestFit="1" customWidth="1"/>
    <col min="2577" max="2577" width="12.6328125" style="20" bestFit="1" customWidth="1"/>
    <col min="2578" max="2578" width="17" style="20" bestFit="1" customWidth="1"/>
    <col min="2579" max="2579" width="17.08984375" style="20" bestFit="1" customWidth="1"/>
    <col min="2580" max="2580" width="12.81640625" style="20" bestFit="1" customWidth="1"/>
    <col min="2581" max="2584" width="9.6328125" style="20" bestFit="1" customWidth="1"/>
    <col min="2585" max="2585" width="11.54296875" style="20"/>
    <col min="2586" max="2586" width="13.6328125" style="20" bestFit="1" customWidth="1"/>
    <col min="2587" max="2587" width="4.36328125" style="20" bestFit="1" customWidth="1"/>
    <col min="2588" max="2589" width="11.453125" style="20" customWidth="1"/>
    <col min="2590" max="2594" width="9.6328125" style="20" bestFit="1" customWidth="1"/>
    <col min="2595" max="2595" width="8.6328125" style="20" bestFit="1" customWidth="1"/>
    <col min="2596" max="2816" width="11.54296875" style="20"/>
    <col min="2817" max="2817" width="30.6328125" style="20" bestFit="1" customWidth="1"/>
    <col min="2818" max="2823" width="9.90625" style="20" bestFit="1" customWidth="1"/>
    <col min="2824" max="2827" width="9.6328125" style="20" bestFit="1" customWidth="1"/>
    <col min="2828" max="2828" width="8.81640625" style="20" bestFit="1" customWidth="1"/>
    <col min="2829" max="2829" width="9.6328125" style="20" bestFit="1" customWidth="1"/>
    <col min="2830" max="2830" width="12.6328125" style="20" bestFit="1" customWidth="1"/>
    <col min="2831" max="2832" width="17" style="20" bestFit="1" customWidth="1"/>
    <col min="2833" max="2833" width="12.6328125" style="20" bestFit="1" customWidth="1"/>
    <col min="2834" max="2834" width="17" style="20" bestFit="1" customWidth="1"/>
    <col min="2835" max="2835" width="17.08984375" style="20" bestFit="1" customWidth="1"/>
    <col min="2836" max="2836" width="12.81640625" style="20" bestFit="1" customWidth="1"/>
    <col min="2837" max="2840" width="9.6328125" style="20" bestFit="1" customWidth="1"/>
    <col min="2841" max="2841" width="11.54296875" style="20"/>
    <col min="2842" max="2842" width="13.6328125" style="20" bestFit="1" customWidth="1"/>
    <col min="2843" max="2843" width="4.36328125" style="20" bestFit="1" customWidth="1"/>
    <col min="2844" max="2845" width="11.453125" style="20" customWidth="1"/>
    <col min="2846" max="2850" width="9.6328125" style="20" bestFit="1" customWidth="1"/>
    <col min="2851" max="2851" width="8.6328125" style="20" bestFit="1" customWidth="1"/>
    <col min="2852" max="3072" width="11.54296875" style="20"/>
    <col min="3073" max="3073" width="30.6328125" style="20" bestFit="1" customWidth="1"/>
    <col min="3074" max="3079" width="9.90625" style="20" bestFit="1" customWidth="1"/>
    <col min="3080" max="3083" width="9.6328125" style="20" bestFit="1" customWidth="1"/>
    <col min="3084" max="3084" width="8.81640625" style="20" bestFit="1" customWidth="1"/>
    <col min="3085" max="3085" width="9.6328125" style="20" bestFit="1" customWidth="1"/>
    <col min="3086" max="3086" width="12.6328125" style="20" bestFit="1" customWidth="1"/>
    <col min="3087" max="3088" width="17" style="20" bestFit="1" customWidth="1"/>
    <col min="3089" max="3089" width="12.6328125" style="20" bestFit="1" customWidth="1"/>
    <col min="3090" max="3090" width="17" style="20" bestFit="1" customWidth="1"/>
    <col min="3091" max="3091" width="17.08984375" style="20" bestFit="1" customWidth="1"/>
    <col min="3092" max="3092" width="12.81640625" style="20" bestFit="1" customWidth="1"/>
    <col min="3093" max="3096" width="9.6328125" style="20" bestFit="1" customWidth="1"/>
    <col min="3097" max="3097" width="11.54296875" style="20"/>
    <col min="3098" max="3098" width="13.6328125" style="20" bestFit="1" customWidth="1"/>
    <col min="3099" max="3099" width="4.36328125" style="20" bestFit="1" customWidth="1"/>
    <col min="3100" max="3101" width="11.453125" style="20" customWidth="1"/>
    <col min="3102" max="3106" width="9.6328125" style="20" bestFit="1" customWidth="1"/>
    <col min="3107" max="3107" width="8.6328125" style="20" bestFit="1" customWidth="1"/>
    <col min="3108" max="3328" width="11.54296875" style="20"/>
    <col min="3329" max="3329" width="30.6328125" style="20" bestFit="1" customWidth="1"/>
    <col min="3330" max="3335" width="9.90625" style="20" bestFit="1" customWidth="1"/>
    <col min="3336" max="3339" width="9.6328125" style="20" bestFit="1" customWidth="1"/>
    <col min="3340" max="3340" width="8.81640625" style="20" bestFit="1" customWidth="1"/>
    <col min="3341" max="3341" width="9.6328125" style="20" bestFit="1" customWidth="1"/>
    <col min="3342" max="3342" width="12.6328125" style="20" bestFit="1" customWidth="1"/>
    <col min="3343" max="3344" width="17" style="20" bestFit="1" customWidth="1"/>
    <col min="3345" max="3345" width="12.6328125" style="20" bestFit="1" customWidth="1"/>
    <col min="3346" max="3346" width="17" style="20" bestFit="1" customWidth="1"/>
    <col min="3347" max="3347" width="17.08984375" style="20" bestFit="1" customWidth="1"/>
    <col min="3348" max="3348" width="12.81640625" style="20" bestFit="1" customWidth="1"/>
    <col min="3349" max="3352" width="9.6328125" style="20" bestFit="1" customWidth="1"/>
    <col min="3353" max="3353" width="11.54296875" style="20"/>
    <col min="3354" max="3354" width="13.6328125" style="20" bestFit="1" customWidth="1"/>
    <col min="3355" max="3355" width="4.36328125" style="20" bestFit="1" customWidth="1"/>
    <col min="3356" max="3357" width="11.453125" style="20" customWidth="1"/>
    <col min="3358" max="3362" width="9.6328125" style="20" bestFit="1" customWidth="1"/>
    <col min="3363" max="3363" width="8.6328125" style="20" bestFit="1" customWidth="1"/>
    <col min="3364" max="3584" width="11.54296875" style="20"/>
    <col min="3585" max="3585" width="30.6328125" style="20" bestFit="1" customWidth="1"/>
    <col min="3586" max="3591" width="9.90625" style="20" bestFit="1" customWidth="1"/>
    <col min="3592" max="3595" width="9.6328125" style="20" bestFit="1" customWidth="1"/>
    <col min="3596" max="3596" width="8.81640625" style="20" bestFit="1" customWidth="1"/>
    <col min="3597" max="3597" width="9.6328125" style="20" bestFit="1" customWidth="1"/>
    <col min="3598" max="3598" width="12.6328125" style="20" bestFit="1" customWidth="1"/>
    <col min="3599" max="3600" width="17" style="20" bestFit="1" customWidth="1"/>
    <col min="3601" max="3601" width="12.6328125" style="20" bestFit="1" customWidth="1"/>
    <col min="3602" max="3602" width="17" style="20" bestFit="1" customWidth="1"/>
    <col min="3603" max="3603" width="17.08984375" style="20" bestFit="1" customWidth="1"/>
    <col min="3604" max="3604" width="12.81640625" style="20" bestFit="1" customWidth="1"/>
    <col min="3605" max="3608" width="9.6328125" style="20" bestFit="1" customWidth="1"/>
    <col min="3609" max="3609" width="11.54296875" style="20"/>
    <col min="3610" max="3610" width="13.6328125" style="20" bestFit="1" customWidth="1"/>
    <col min="3611" max="3611" width="4.36328125" style="20" bestFit="1" customWidth="1"/>
    <col min="3612" max="3613" width="11.453125" style="20" customWidth="1"/>
    <col min="3614" max="3618" width="9.6328125" style="20" bestFit="1" customWidth="1"/>
    <col min="3619" max="3619" width="8.6328125" style="20" bestFit="1" customWidth="1"/>
    <col min="3620" max="3840" width="11.54296875" style="20"/>
    <col min="3841" max="3841" width="30.6328125" style="20" bestFit="1" customWidth="1"/>
    <col min="3842" max="3847" width="9.90625" style="20" bestFit="1" customWidth="1"/>
    <col min="3848" max="3851" width="9.6328125" style="20" bestFit="1" customWidth="1"/>
    <col min="3852" max="3852" width="8.81640625" style="20" bestFit="1" customWidth="1"/>
    <col min="3853" max="3853" width="9.6328125" style="20" bestFit="1" customWidth="1"/>
    <col min="3854" max="3854" width="12.6328125" style="20" bestFit="1" customWidth="1"/>
    <col min="3855" max="3856" width="17" style="20" bestFit="1" customWidth="1"/>
    <col min="3857" max="3857" width="12.6328125" style="20" bestFit="1" customWidth="1"/>
    <col min="3858" max="3858" width="17" style="20" bestFit="1" customWidth="1"/>
    <col min="3859" max="3859" width="17.08984375" style="20" bestFit="1" customWidth="1"/>
    <col min="3860" max="3860" width="12.81640625" style="20" bestFit="1" customWidth="1"/>
    <col min="3861" max="3864" width="9.6328125" style="20" bestFit="1" customWidth="1"/>
    <col min="3865" max="3865" width="11.54296875" style="20"/>
    <col min="3866" max="3866" width="13.6328125" style="20" bestFit="1" customWidth="1"/>
    <col min="3867" max="3867" width="4.36328125" style="20" bestFit="1" customWidth="1"/>
    <col min="3868" max="3869" width="11.453125" style="20" customWidth="1"/>
    <col min="3870" max="3874" width="9.6328125" style="20" bestFit="1" customWidth="1"/>
    <col min="3875" max="3875" width="8.6328125" style="20" bestFit="1" customWidth="1"/>
    <col min="3876" max="4096" width="11.54296875" style="20"/>
    <col min="4097" max="4097" width="30.6328125" style="20" bestFit="1" customWidth="1"/>
    <col min="4098" max="4103" width="9.90625" style="20" bestFit="1" customWidth="1"/>
    <col min="4104" max="4107" width="9.6328125" style="20" bestFit="1" customWidth="1"/>
    <col min="4108" max="4108" width="8.81640625" style="20" bestFit="1" customWidth="1"/>
    <col min="4109" max="4109" width="9.6328125" style="20" bestFit="1" customWidth="1"/>
    <col min="4110" max="4110" width="12.6328125" style="20" bestFit="1" customWidth="1"/>
    <col min="4111" max="4112" width="17" style="20" bestFit="1" customWidth="1"/>
    <col min="4113" max="4113" width="12.6328125" style="20" bestFit="1" customWidth="1"/>
    <col min="4114" max="4114" width="17" style="20" bestFit="1" customWidth="1"/>
    <col min="4115" max="4115" width="17.08984375" style="20" bestFit="1" customWidth="1"/>
    <col min="4116" max="4116" width="12.81640625" style="20" bestFit="1" customWidth="1"/>
    <col min="4117" max="4120" width="9.6328125" style="20" bestFit="1" customWidth="1"/>
    <col min="4121" max="4121" width="11.54296875" style="20"/>
    <col min="4122" max="4122" width="13.6328125" style="20" bestFit="1" customWidth="1"/>
    <col min="4123" max="4123" width="4.36328125" style="20" bestFit="1" customWidth="1"/>
    <col min="4124" max="4125" width="11.453125" style="20" customWidth="1"/>
    <col min="4126" max="4130" width="9.6328125" style="20" bestFit="1" customWidth="1"/>
    <col min="4131" max="4131" width="8.6328125" style="20" bestFit="1" customWidth="1"/>
    <col min="4132" max="4352" width="11.54296875" style="20"/>
    <col min="4353" max="4353" width="30.6328125" style="20" bestFit="1" customWidth="1"/>
    <col min="4354" max="4359" width="9.90625" style="20" bestFit="1" customWidth="1"/>
    <col min="4360" max="4363" width="9.6328125" style="20" bestFit="1" customWidth="1"/>
    <col min="4364" max="4364" width="8.81640625" style="20" bestFit="1" customWidth="1"/>
    <col min="4365" max="4365" width="9.6328125" style="20" bestFit="1" customWidth="1"/>
    <col min="4366" max="4366" width="12.6328125" style="20" bestFit="1" customWidth="1"/>
    <col min="4367" max="4368" width="17" style="20" bestFit="1" customWidth="1"/>
    <col min="4369" max="4369" width="12.6328125" style="20" bestFit="1" customWidth="1"/>
    <col min="4370" max="4370" width="17" style="20" bestFit="1" customWidth="1"/>
    <col min="4371" max="4371" width="17.08984375" style="20" bestFit="1" customWidth="1"/>
    <col min="4372" max="4372" width="12.81640625" style="20" bestFit="1" customWidth="1"/>
    <col min="4373" max="4376" width="9.6328125" style="20" bestFit="1" customWidth="1"/>
    <col min="4377" max="4377" width="11.54296875" style="20"/>
    <col min="4378" max="4378" width="13.6328125" style="20" bestFit="1" customWidth="1"/>
    <col min="4379" max="4379" width="4.36328125" style="20" bestFit="1" customWidth="1"/>
    <col min="4380" max="4381" width="11.453125" style="20" customWidth="1"/>
    <col min="4382" max="4386" width="9.6328125" style="20" bestFit="1" customWidth="1"/>
    <col min="4387" max="4387" width="8.6328125" style="20" bestFit="1" customWidth="1"/>
    <col min="4388" max="4608" width="11.54296875" style="20"/>
    <col min="4609" max="4609" width="30.6328125" style="20" bestFit="1" customWidth="1"/>
    <col min="4610" max="4615" width="9.90625" style="20" bestFit="1" customWidth="1"/>
    <col min="4616" max="4619" width="9.6328125" style="20" bestFit="1" customWidth="1"/>
    <col min="4620" max="4620" width="8.81640625" style="20" bestFit="1" customWidth="1"/>
    <col min="4621" max="4621" width="9.6328125" style="20" bestFit="1" customWidth="1"/>
    <col min="4622" max="4622" width="12.6328125" style="20" bestFit="1" customWidth="1"/>
    <col min="4623" max="4624" width="17" style="20" bestFit="1" customWidth="1"/>
    <col min="4625" max="4625" width="12.6328125" style="20" bestFit="1" customWidth="1"/>
    <col min="4626" max="4626" width="17" style="20" bestFit="1" customWidth="1"/>
    <col min="4627" max="4627" width="17.08984375" style="20" bestFit="1" customWidth="1"/>
    <col min="4628" max="4628" width="12.81640625" style="20" bestFit="1" customWidth="1"/>
    <col min="4629" max="4632" width="9.6328125" style="20" bestFit="1" customWidth="1"/>
    <col min="4633" max="4633" width="11.54296875" style="20"/>
    <col min="4634" max="4634" width="13.6328125" style="20" bestFit="1" customWidth="1"/>
    <col min="4635" max="4635" width="4.36328125" style="20" bestFit="1" customWidth="1"/>
    <col min="4636" max="4637" width="11.453125" style="20" customWidth="1"/>
    <col min="4638" max="4642" width="9.6328125" style="20" bestFit="1" customWidth="1"/>
    <col min="4643" max="4643" width="8.6328125" style="20" bestFit="1" customWidth="1"/>
    <col min="4644" max="4864" width="11.54296875" style="20"/>
    <col min="4865" max="4865" width="30.6328125" style="20" bestFit="1" customWidth="1"/>
    <col min="4866" max="4871" width="9.90625" style="20" bestFit="1" customWidth="1"/>
    <col min="4872" max="4875" width="9.6328125" style="20" bestFit="1" customWidth="1"/>
    <col min="4876" max="4876" width="8.81640625" style="20" bestFit="1" customWidth="1"/>
    <col min="4877" max="4877" width="9.6328125" style="20" bestFit="1" customWidth="1"/>
    <col min="4878" max="4878" width="12.6328125" style="20" bestFit="1" customWidth="1"/>
    <col min="4879" max="4880" width="17" style="20" bestFit="1" customWidth="1"/>
    <col min="4881" max="4881" width="12.6328125" style="20" bestFit="1" customWidth="1"/>
    <col min="4882" max="4882" width="17" style="20" bestFit="1" customWidth="1"/>
    <col min="4883" max="4883" width="17.08984375" style="20" bestFit="1" customWidth="1"/>
    <col min="4884" max="4884" width="12.81640625" style="20" bestFit="1" customWidth="1"/>
    <col min="4885" max="4888" width="9.6328125" style="20" bestFit="1" customWidth="1"/>
    <col min="4889" max="4889" width="11.54296875" style="20"/>
    <col min="4890" max="4890" width="13.6328125" style="20" bestFit="1" customWidth="1"/>
    <col min="4891" max="4891" width="4.36328125" style="20" bestFit="1" customWidth="1"/>
    <col min="4892" max="4893" width="11.453125" style="20" customWidth="1"/>
    <col min="4894" max="4898" width="9.6328125" style="20" bestFit="1" customWidth="1"/>
    <col min="4899" max="4899" width="8.6328125" style="20" bestFit="1" customWidth="1"/>
    <col min="4900" max="5120" width="11.54296875" style="20"/>
    <col min="5121" max="5121" width="30.6328125" style="20" bestFit="1" customWidth="1"/>
    <col min="5122" max="5127" width="9.90625" style="20" bestFit="1" customWidth="1"/>
    <col min="5128" max="5131" width="9.6328125" style="20" bestFit="1" customWidth="1"/>
    <col min="5132" max="5132" width="8.81640625" style="20" bestFit="1" customWidth="1"/>
    <col min="5133" max="5133" width="9.6328125" style="20" bestFit="1" customWidth="1"/>
    <col min="5134" max="5134" width="12.6328125" style="20" bestFit="1" customWidth="1"/>
    <col min="5135" max="5136" width="17" style="20" bestFit="1" customWidth="1"/>
    <col min="5137" max="5137" width="12.6328125" style="20" bestFit="1" customWidth="1"/>
    <col min="5138" max="5138" width="17" style="20" bestFit="1" customWidth="1"/>
    <col min="5139" max="5139" width="17.08984375" style="20" bestFit="1" customWidth="1"/>
    <col min="5140" max="5140" width="12.81640625" style="20" bestFit="1" customWidth="1"/>
    <col min="5141" max="5144" width="9.6328125" style="20" bestFit="1" customWidth="1"/>
    <col min="5145" max="5145" width="11.54296875" style="20"/>
    <col min="5146" max="5146" width="13.6328125" style="20" bestFit="1" customWidth="1"/>
    <col min="5147" max="5147" width="4.36328125" style="20" bestFit="1" customWidth="1"/>
    <col min="5148" max="5149" width="11.453125" style="20" customWidth="1"/>
    <col min="5150" max="5154" width="9.6328125" style="20" bestFit="1" customWidth="1"/>
    <col min="5155" max="5155" width="8.6328125" style="20" bestFit="1" customWidth="1"/>
    <col min="5156" max="5376" width="11.54296875" style="20"/>
    <col min="5377" max="5377" width="30.6328125" style="20" bestFit="1" customWidth="1"/>
    <col min="5378" max="5383" width="9.90625" style="20" bestFit="1" customWidth="1"/>
    <col min="5384" max="5387" width="9.6328125" style="20" bestFit="1" customWidth="1"/>
    <col min="5388" max="5388" width="8.81640625" style="20" bestFit="1" customWidth="1"/>
    <col min="5389" max="5389" width="9.6328125" style="20" bestFit="1" customWidth="1"/>
    <col min="5390" max="5390" width="12.6328125" style="20" bestFit="1" customWidth="1"/>
    <col min="5391" max="5392" width="17" style="20" bestFit="1" customWidth="1"/>
    <col min="5393" max="5393" width="12.6328125" style="20" bestFit="1" customWidth="1"/>
    <col min="5394" max="5394" width="17" style="20" bestFit="1" customWidth="1"/>
    <col min="5395" max="5395" width="17.08984375" style="20" bestFit="1" customWidth="1"/>
    <col min="5396" max="5396" width="12.81640625" style="20" bestFit="1" customWidth="1"/>
    <col min="5397" max="5400" width="9.6328125" style="20" bestFit="1" customWidth="1"/>
    <col min="5401" max="5401" width="11.54296875" style="20"/>
    <col min="5402" max="5402" width="13.6328125" style="20" bestFit="1" customWidth="1"/>
    <col min="5403" max="5403" width="4.36328125" style="20" bestFit="1" customWidth="1"/>
    <col min="5404" max="5405" width="11.453125" style="20" customWidth="1"/>
    <col min="5406" max="5410" width="9.6328125" style="20" bestFit="1" customWidth="1"/>
    <col min="5411" max="5411" width="8.6328125" style="20" bestFit="1" customWidth="1"/>
    <col min="5412" max="5632" width="11.54296875" style="20"/>
    <col min="5633" max="5633" width="30.6328125" style="20" bestFit="1" customWidth="1"/>
    <col min="5634" max="5639" width="9.90625" style="20" bestFit="1" customWidth="1"/>
    <col min="5640" max="5643" width="9.6328125" style="20" bestFit="1" customWidth="1"/>
    <col min="5644" max="5644" width="8.81640625" style="20" bestFit="1" customWidth="1"/>
    <col min="5645" max="5645" width="9.6328125" style="20" bestFit="1" customWidth="1"/>
    <col min="5646" max="5646" width="12.6328125" style="20" bestFit="1" customWidth="1"/>
    <col min="5647" max="5648" width="17" style="20" bestFit="1" customWidth="1"/>
    <col min="5649" max="5649" width="12.6328125" style="20" bestFit="1" customWidth="1"/>
    <col min="5650" max="5650" width="17" style="20" bestFit="1" customWidth="1"/>
    <col min="5651" max="5651" width="17.08984375" style="20" bestFit="1" customWidth="1"/>
    <col min="5652" max="5652" width="12.81640625" style="20" bestFit="1" customWidth="1"/>
    <col min="5653" max="5656" width="9.6328125" style="20" bestFit="1" customWidth="1"/>
    <col min="5657" max="5657" width="11.54296875" style="20"/>
    <col min="5658" max="5658" width="13.6328125" style="20" bestFit="1" customWidth="1"/>
    <col min="5659" max="5659" width="4.36328125" style="20" bestFit="1" customWidth="1"/>
    <col min="5660" max="5661" width="11.453125" style="20" customWidth="1"/>
    <col min="5662" max="5666" width="9.6328125" style="20" bestFit="1" customWidth="1"/>
    <col min="5667" max="5667" width="8.6328125" style="20" bestFit="1" customWidth="1"/>
    <col min="5668" max="5888" width="11.54296875" style="20"/>
    <col min="5889" max="5889" width="30.6328125" style="20" bestFit="1" customWidth="1"/>
    <col min="5890" max="5895" width="9.90625" style="20" bestFit="1" customWidth="1"/>
    <col min="5896" max="5899" width="9.6328125" style="20" bestFit="1" customWidth="1"/>
    <col min="5900" max="5900" width="8.81640625" style="20" bestFit="1" customWidth="1"/>
    <col min="5901" max="5901" width="9.6328125" style="20" bestFit="1" customWidth="1"/>
    <col min="5902" max="5902" width="12.6328125" style="20" bestFit="1" customWidth="1"/>
    <col min="5903" max="5904" width="17" style="20" bestFit="1" customWidth="1"/>
    <col min="5905" max="5905" width="12.6328125" style="20" bestFit="1" customWidth="1"/>
    <col min="5906" max="5906" width="17" style="20" bestFit="1" customWidth="1"/>
    <col min="5907" max="5907" width="17.08984375" style="20" bestFit="1" customWidth="1"/>
    <col min="5908" max="5908" width="12.81640625" style="20" bestFit="1" customWidth="1"/>
    <col min="5909" max="5912" width="9.6328125" style="20" bestFit="1" customWidth="1"/>
    <col min="5913" max="5913" width="11.54296875" style="20"/>
    <col min="5914" max="5914" width="13.6328125" style="20" bestFit="1" customWidth="1"/>
    <col min="5915" max="5915" width="4.36328125" style="20" bestFit="1" customWidth="1"/>
    <col min="5916" max="5917" width="11.453125" style="20" customWidth="1"/>
    <col min="5918" max="5922" width="9.6328125" style="20" bestFit="1" customWidth="1"/>
    <col min="5923" max="5923" width="8.6328125" style="20" bestFit="1" customWidth="1"/>
    <col min="5924" max="6144" width="11.54296875" style="20"/>
    <col min="6145" max="6145" width="30.6328125" style="20" bestFit="1" customWidth="1"/>
    <col min="6146" max="6151" width="9.90625" style="20" bestFit="1" customWidth="1"/>
    <col min="6152" max="6155" width="9.6328125" style="20" bestFit="1" customWidth="1"/>
    <col min="6156" max="6156" width="8.81640625" style="20" bestFit="1" customWidth="1"/>
    <col min="6157" max="6157" width="9.6328125" style="20" bestFit="1" customWidth="1"/>
    <col min="6158" max="6158" width="12.6328125" style="20" bestFit="1" customWidth="1"/>
    <col min="6159" max="6160" width="17" style="20" bestFit="1" customWidth="1"/>
    <col min="6161" max="6161" width="12.6328125" style="20" bestFit="1" customWidth="1"/>
    <col min="6162" max="6162" width="17" style="20" bestFit="1" customWidth="1"/>
    <col min="6163" max="6163" width="17.08984375" style="20" bestFit="1" customWidth="1"/>
    <col min="6164" max="6164" width="12.81640625" style="20" bestFit="1" customWidth="1"/>
    <col min="6165" max="6168" width="9.6328125" style="20" bestFit="1" customWidth="1"/>
    <col min="6169" max="6169" width="11.54296875" style="20"/>
    <col min="6170" max="6170" width="13.6328125" style="20" bestFit="1" customWidth="1"/>
    <col min="6171" max="6171" width="4.36328125" style="20" bestFit="1" customWidth="1"/>
    <col min="6172" max="6173" width="11.453125" style="20" customWidth="1"/>
    <col min="6174" max="6178" width="9.6328125" style="20" bestFit="1" customWidth="1"/>
    <col min="6179" max="6179" width="8.6328125" style="20" bestFit="1" customWidth="1"/>
    <col min="6180" max="6400" width="11.54296875" style="20"/>
    <col min="6401" max="6401" width="30.6328125" style="20" bestFit="1" customWidth="1"/>
    <col min="6402" max="6407" width="9.90625" style="20" bestFit="1" customWidth="1"/>
    <col min="6408" max="6411" width="9.6328125" style="20" bestFit="1" customWidth="1"/>
    <col min="6412" max="6412" width="8.81640625" style="20" bestFit="1" customWidth="1"/>
    <col min="6413" max="6413" width="9.6328125" style="20" bestFit="1" customWidth="1"/>
    <col min="6414" max="6414" width="12.6328125" style="20" bestFit="1" customWidth="1"/>
    <col min="6415" max="6416" width="17" style="20" bestFit="1" customWidth="1"/>
    <col min="6417" max="6417" width="12.6328125" style="20" bestFit="1" customWidth="1"/>
    <col min="6418" max="6418" width="17" style="20" bestFit="1" customWidth="1"/>
    <col min="6419" max="6419" width="17.08984375" style="20" bestFit="1" customWidth="1"/>
    <col min="6420" max="6420" width="12.81640625" style="20" bestFit="1" customWidth="1"/>
    <col min="6421" max="6424" width="9.6328125" style="20" bestFit="1" customWidth="1"/>
    <col min="6425" max="6425" width="11.54296875" style="20"/>
    <col min="6426" max="6426" width="13.6328125" style="20" bestFit="1" customWidth="1"/>
    <col min="6427" max="6427" width="4.36328125" style="20" bestFit="1" customWidth="1"/>
    <col min="6428" max="6429" width="11.453125" style="20" customWidth="1"/>
    <col min="6430" max="6434" width="9.6328125" style="20" bestFit="1" customWidth="1"/>
    <col min="6435" max="6435" width="8.6328125" style="20" bestFit="1" customWidth="1"/>
    <col min="6436" max="6656" width="11.54296875" style="20"/>
    <col min="6657" max="6657" width="30.6328125" style="20" bestFit="1" customWidth="1"/>
    <col min="6658" max="6663" width="9.90625" style="20" bestFit="1" customWidth="1"/>
    <col min="6664" max="6667" width="9.6328125" style="20" bestFit="1" customWidth="1"/>
    <col min="6668" max="6668" width="8.81640625" style="20" bestFit="1" customWidth="1"/>
    <col min="6669" max="6669" width="9.6328125" style="20" bestFit="1" customWidth="1"/>
    <col min="6670" max="6670" width="12.6328125" style="20" bestFit="1" customWidth="1"/>
    <col min="6671" max="6672" width="17" style="20" bestFit="1" customWidth="1"/>
    <col min="6673" max="6673" width="12.6328125" style="20" bestFit="1" customWidth="1"/>
    <col min="6674" max="6674" width="17" style="20" bestFit="1" customWidth="1"/>
    <col min="6675" max="6675" width="17.08984375" style="20" bestFit="1" customWidth="1"/>
    <col min="6676" max="6676" width="12.81640625" style="20" bestFit="1" customWidth="1"/>
    <col min="6677" max="6680" width="9.6328125" style="20" bestFit="1" customWidth="1"/>
    <col min="6681" max="6681" width="11.54296875" style="20"/>
    <col min="6682" max="6682" width="13.6328125" style="20" bestFit="1" customWidth="1"/>
    <col min="6683" max="6683" width="4.36328125" style="20" bestFit="1" customWidth="1"/>
    <col min="6684" max="6685" width="11.453125" style="20" customWidth="1"/>
    <col min="6686" max="6690" width="9.6328125" style="20" bestFit="1" customWidth="1"/>
    <col min="6691" max="6691" width="8.6328125" style="20" bestFit="1" customWidth="1"/>
    <col min="6692" max="6912" width="11.54296875" style="20"/>
    <col min="6913" max="6913" width="30.6328125" style="20" bestFit="1" customWidth="1"/>
    <col min="6914" max="6919" width="9.90625" style="20" bestFit="1" customWidth="1"/>
    <col min="6920" max="6923" width="9.6328125" style="20" bestFit="1" customWidth="1"/>
    <col min="6924" max="6924" width="8.81640625" style="20" bestFit="1" customWidth="1"/>
    <col min="6925" max="6925" width="9.6328125" style="20" bestFit="1" customWidth="1"/>
    <col min="6926" max="6926" width="12.6328125" style="20" bestFit="1" customWidth="1"/>
    <col min="6927" max="6928" width="17" style="20" bestFit="1" customWidth="1"/>
    <col min="6929" max="6929" width="12.6328125" style="20" bestFit="1" customWidth="1"/>
    <col min="6930" max="6930" width="17" style="20" bestFit="1" customWidth="1"/>
    <col min="6931" max="6931" width="17.08984375" style="20" bestFit="1" customWidth="1"/>
    <col min="6932" max="6932" width="12.81640625" style="20" bestFit="1" customWidth="1"/>
    <col min="6933" max="6936" width="9.6328125" style="20" bestFit="1" customWidth="1"/>
    <col min="6937" max="6937" width="11.54296875" style="20"/>
    <col min="6938" max="6938" width="13.6328125" style="20" bestFit="1" customWidth="1"/>
    <col min="6939" max="6939" width="4.36328125" style="20" bestFit="1" customWidth="1"/>
    <col min="6940" max="6941" width="11.453125" style="20" customWidth="1"/>
    <col min="6942" max="6946" width="9.6328125" style="20" bestFit="1" customWidth="1"/>
    <col min="6947" max="6947" width="8.6328125" style="20" bestFit="1" customWidth="1"/>
    <col min="6948" max="7168" width="11.54296875" style="20"/>
    <col min="7169" max="7169" width="30.6328125" style="20" bestFit="1" customWidth="1"/>
    <col min="7170" max="7175" width="9.90625" style="20" bestFit="1" customWidth="1"/>
    <col min="7176" max="7179" width="9.6328125" style="20" bestFit="1" customWidth="1"/>
    <col min="7180" max="7180" width="8.81640625" style="20" bestFit="1" customWidth="1"/>
    <col min="7181" max="7181" width="9.6328125" style="20" bestFit="1" customWidth="1"/>
    <col min="7182" max="7182" width="12.6328125" style="20" bestFit="1" customWidth="1"/>
    <col min="7183" max="7184" width="17" style="20" bestFit="1" customWidth="1"/>
    <col min="7185" max="7185" width="12.6328125" style="20" bestFit="1" customWidth="1"/>
    <col min="7186" max="7186" width="17" style="20" bestFit="1" customWidth="1"/>
    <col min="7187" max="7187" width="17.08984375" style="20" bestFit="1" customWidth="1"/>
    <col min="7188" max="7188" width="12.81640625" style="20" bestFit="1" customWidth="1"/>
    <col min="7189" max="7192" width="9.6328125" style="20" bestFit="1" customWidth="1"/>
    <col min="7193" max="7193" width="11.54296875" style="20"/>
    <col min="7194" max="7194" width="13.6328125" style="20" bestFit="1" customWidth="1"/>
    <col min="7195" max="7195" width="4.36328125" style="20" bestFit="1" customWidth="1"/>
    <col min="7196" max="7197" width="11.453125" style="20" customWidth="1"/>
    <col min="7198" max="7202" width="9.6328125" style="20" bestFit="1" customWidth="1"/>
    <col min="7203" max="7203" width="8.6328125" style="20" bestFit="1" customWidth="1"/>
    <col min="7204" max="7424" width="11.54296875" style="20"/>
    <col min="7425" max="7425" width="30.6328125" style="20" bestFit="1" customWidth="1"/>
    <col min="7426" max="7431" width="9.90625" style="20" bestFit="1" customWidth="1"/>
    <col min="7432" max="7435" width="9.6328125" style="20" bestFit="1" customWidth="1"/>
    <col min="7436" max="7436" width="8.81640625" style="20" bestFit="1" customWidth="1"/>
    <col min="7437" max="7437" width="9.6328125" style="20" bestFit="1" customWidth="1"/>
    <col min="7438" max="7438" width="12.6328125" style="20" bestFit="1" customWidth="1"/>
    <col min="7439" max="7440" width="17" style="20" bestFit="1" customWidth="1"/>
    <col min="7441" max="7441" width="12.6328125" style="20" bestFit="1" customWidth="1"/>
    <col min="7442" max="7442" width="17" style="20" bestFit="1" customWidth="1"/>
    <col min="7443" max="7443" width="17.08984375" style="20" bestFit="1" customWidth="1"/>
    <col min="7444" max="7444" width="12.81640625" style="20" bestFit="1" customWidth="1"/>
    <col min="7445" max="7448" width="9.6328125" style="20" bestFit="1" customWidth="1"/>
    <col min="7449" max="7449" width="11.54296875" style="20"/>
    <col min="7450" max="7450" width="13.6328125" style="20" bestFit="1" customWidth="1"/>
    <col min="7451" max="7451" width="4.36328125" style="20" bestFit="1" customWidth="1"/>
    <col min="7452" max="7453" width="11.453125" style="20" customWidth="1"/>
    <col min="7454" max="7458" width="9.6328125" style="20" bestFit="1" customWidth="1"/>
    <col min="7459" max="7459" width="8.6328125" style="20" bestFit="1" customWidth="1"/>
    <col min="7460" max="7680" width="11.54296875" style="20"/>
    <col min="7681" max="7681" width="30.6328125" style="20" bestFit="1" customWidth="1"/>
    <col min="7682" max="7687" width="9.90625" style="20" bestFit="1" customWidth="1"/>
    <col min="7688" max="7691" width="9.6328125" style="20" bestFit="1" customWidth="1"/>
    <col min="7692" max="7692" width="8.81640625" style="20" bestFit="1" customWidth="1"/>
    <col min="7693" max="7693" width="9.6328125" style="20" bestFit="1" customWidth="1"/>
    <col min="7694" max="7694" width="12.6328125" style="20" bestFit="1" customWidth="1"/>
    <col min="7695" max="7696" width="17" style="20" bestFit="1" customWidth="1"/>
    <col min="7697" max="7697" width="12.6328125" style="20" bestFit="1" customWidth="1"/>
    <col min="7698" max="7698" width="17" style="20" bestFit="1" customWidth="1"/>
    <col min="7699" max="7699" width="17.08984375" style="20" bestFit="1" customWidth="1"/>
    <col min="7700" max="7700" width="12.81640625" style="20" bestFit="1" customWidth="1"/>
    <col min="7701" max="7704" width="9.6328125" style="20" bestFit="1" customWidth="1"/>
    <col min="7705" max="7705" width="11.54296875" style="20"/>
    <col min="7706" max="7706" width="13.6328125" style="20" bestFit="1" customWidth="1"/>
    <col min="7707" max="7707" width="4.36328125" style="20" bestFit="1" customWidth="1"/>
    <col min="7708" max="7709" width="11.453125" style="20" customWidth="1"/>
    <col min="7710" max="7714" width="9.6328125" style="20" bestFit="1" customWidth="1"/>
    <col min="7715" max="7715" width="8.6328125" style="20" bestFit="1" customWidth="1"/>
    <col min="7716" max="7936" width="11.54296875" style="20"/>
    <col min="7937" max="7937" width="30.6328125" style="20" bestFit="1" customWidth="1"/>
    <col min="7938" max="7943" width="9.90625" style="20" bestFit="1" customWidth="1"/>
    <col min="7944" max="7947" width="9.6328125" style="20" bestFit="1" customWidth="1"/>
    <col min="7948" max="7948" width="8.81640625" style="20" bestFit="1" customWidth="1"/>
    <col min="7949" max="7949" width="9.6328125" style="20" bestFit="1" customWidth="1"/>
    <col min="7950" max="7950" width="12.6328125" style="20" bestFit="1" customWidth="1"/>
    <col min="7951" max="7952" width="17" style="20" bestFit="1" customWidth="1"/>
    <col min="7953" max="7953" width="12.6328125" style="20" bestFit="1" customWidth="1"/>
    <col min="7954" max="7954" width="17" style="20" bestFit="1" customWidth="1"/>
    <col min="7955" max="7955" width="17.08984375" style="20" bestFit="1" customWidth="1"/>
    <col min="7956" max="7956" width="12.81640625" style="20" bestFit="1" customWidth="1"/>
    <col min="7957" max="7960" width="9.6328125" style="20" bestFit="1" customWidth="1"/>
    <col min="7961" max="7961" width="11.54296875" style="20"/>
    <col min="7962" max="7962" width="13.6328125" style="20" bestFit="1" customWidth="1"/>
    <col min="7963" max="7963" width="4.36328125" style="20" bestFit="1" customWidth="1"/>
    <col min="7964" max="7965" width="11.453125" style="20" customWidth="1"/>
    <col min="7966" max="7970" width="9.6328125" style="20" bestFit="1" customWidth="1"/>
    <col min="7971" max="7971" width="8.6328125" style="20" bestFit="1" customWidth="1"/>
    <col min="7972" max="8192" width="11.54296875" style="20"/>
    <col min="8193" max="8193" width="30.6328125" style="20" bestFit="1" customWidth="1"/>
    <col min="8194" max="8199" width="9.90625" style="20" bestFit="1" customWidth="1"/>
    <col min="8200" max="8203" width="9.6328125" style="20" bestFit="1" customWidth="1"/>
    <col min="8204" max="8204" width="8.81640625" style="20" bestFit="1" customWidth="1"/>
    <col min="8205" max="8205" width="9.6328125" style="20" bestFit="1" customWidth="1"/>
    <col min="8206" max="8206" width="12.6328125" style="20" bestFit="1" customWidth="1"/>
    <col min="8207" max="8208" width="17" style="20" bestFit="1" customWidth="1"/>
    <col min="8209" max="8209" width="12.6328125" style="20" bestFit="1" customWidth="1"/>
    <col min="8210" max="8210" width="17" style="20" bestFit="1" customWidth="1"/>
    <col min="8211" max="8211" width="17.08984375" style="20" bestFit="1" customWidth="1"/>
    <col min="8212" max="8212" width="12.81640625" style="20" bestFit="1" customWidth="1"/>
    <col min="8213" max="8216" width="9.6328125" style="20" bestFit="1" customWidth="1"/>
    <col min="8217" max="8217" width="11.54296875" style="20"/>
    <col min="8218" max="8218" width="13.6328125" style="20" bestFit="1" customWidth="1"/>
    <col min="8219" max="8219" width="4.36328125" style="20" bestFit="1" customWidth="1"/>
    <col min="8220" max="8221" width="11.453125" style="20" customWidth="1"/>
    <col min="8222" max="8226" width="9.6328125" style="20" bestFit="1" customWidth="1"/>
    <col min="8227" max="8227" width="8.6328125" style="20" bestFit="1" customWidth="1"/>
    <col min="8228" max="8448" width="11.54296875" style="20"/>
    <col min="8449" max="8449" width="30.6328125" style="20" bestFit="1" customWidth="1"/>
    <col min="8450" max="8455" width="9.90625" style="20" bestFit="1" customWidth="1"/>
    <col min="8456" max="8459" width="9.6328125" style="20" bestFit="1" customWidth="1"/>
    <col min="8460" max="8460" width="8.81640625" style="20" bestFit="1" customWidth="1"/>
    <col min="8461" max="8461" width="9.6328125" style="20" bestFit="1" customWidth="1"/>
    <col min="8462" max="8462" width="12.6328125" style="20" bestFit="1" customWidth="1"/>
    <col min="8463" max="8464" width="17" style="20" bestFit="1" customWidth="1"/>
    <col min="8465" max="8465" width="12.6328125" style="20" bestFit="1" customWidth="1"/>
    <col min="8466" max="8466" width="17" style="20" bestFit="1" customWidth="1"/>
    <col min="8467" max="8467" width="17.08984375" style="20" bestFit="1" customWidth="1"/>
    <col min="8468" max="8468" width="12.81640625" style="20" bestFit="1" customWidth="1"/>
    <col min="8469" max="8472" width="9.6328125" style="20" bestFit="1" customWidth="1"/>
    <col min="8473" max="8473" width="11.54296875" style="20"/>
    <col min="8474" max="8474" width="13.6328125" style="20" bestFit="1" customWidth="1"/>
    <col min="8475" max="8475" width="4.36328125" style="20" bestFit="1" customWidth="1"/>
    <col min="8476" max="8477" width="11.453125" style="20" customWidth="1"/>
    <col min="8478" max="8482" width="9.6328125" style="20" bestFit="1" customWidth="1"/>
    <col min="8483" max="8483" width="8.6328125" style="20" bestFit="1" customWidth="1"/>
    <col min="8484" max="8704" width="11.54296875" style="20"/>
    <col min="8705" max="8705" width="30.6328125" style="20" bestFit="1" customWidth="1"/>
    <col min="8706" max="8711" width="9.90625" style="20" bestFit="1" customWidth="1"/>
    <col min="8712" max="8715" width="9.6328125" style="20" bestFit="1" customWidth="1"/>
    <col min="8716" max="8716" width="8.81640625" style="20" bestFit="1" customWidth="1"/>
    <col min="8717" max="8717" width="9.6328125" style="20" bestFit="1" customWidth="1"/>
    <col min="8718" max="8718" width="12.6328125" style="20" bestFit="1" customWidth="1"/>
    <col min="8719" max="8720" width="17" style="20" bestFit="1" customWidth="1"/>
    <col min="8721" max="8721" width="12.6328125" style="20" bestFit="1" customWidth="1"/>
    <col min="8722" max="8722" width="17" style="20" bestFit="1" customWidth="1"/>
    <col min="8723" max="8723" width="17.08984375" style="20" bestFit="1" customWidth="1"/>
    <col min="8724" max="8724" width="12.81640625" style="20" bestFit="1" customWidth="1"/>
    <col min="8725" max="8728" width="9.6328125" style="20" bestFit="1" customWidth="1"/>
    <col min="8729" max="8729" width="11.54296875" style="20"/>
    <col min="8730" max="8730" width="13.6328125" style="20" bestFit="1" customWidth="1"/>
    <col min="8731" max="8731" width="4.36328125" style="20" bestFit="1" customWidth="1"/>
    <col min="8732" max="8733" width="11.453125" style="20" customWidth="1"/>
    <col min="8734" max="8738" width="9.6328125" style="20" bestFit="1" customWidth="1"/>
    <col min="8739" max="8739" width="8.6328125" style="20" bestFit="1" customWidth="1"/>
    <col min="8740" max="8960" width="11.54296875" style="20"/>
    <col min="8961" max="8961" width="30.6328125" style="20" bestFit="1" customWidth="1"/>
    <col min="8962" max="8967" width="9.90625" style="20" bestFit="1" customWidth="1"/>
    <col min="8968" max="8971" width="9.6328125" style="20" bestFit="1" customWidth="1"/>
    <col min="8972" max="8972" width="8.81640625" style="20" bestFit="1" customWidth="1"/>
    <col min="8973" max="8973" width="9.6328125" style="20" bestFit="1" customWidth="1"/>
    <col min="8974" max="8974" width="12.6328125" style="20" bestFit="1" customWidth="1"/>
    <col min="8975" max="8976" width="17" style="20" bestFit="1" customWidth="1"/>
    <col min="8977" max="8977" width="12.6328125" style="20" bestFit="1" customWidth="1"/>
    <col min="8978" max="8978" width="17" style="20" bestFit="1" customWidth="1"/>
    <col min="8979" max="8979" width="17.08984375" style="20" bestFit="1" customWidth="1"/>
    <col min="8980" max="8980" width="12.81640625" style="20" bestFit="1" customWidth="1"/>
    <col min="8981" max="8984" width="9.6328125" style="20" bestFit="1" customWidth="1"/>
    <col min="8985" max="8985" width="11.54296875" style="20"/>
    <col min="8986" max="8986" width="13.6328125" style="20" bestFit="1" customWidth="1"/>
    <col min="8987" max="8987" width="4.36328125" style="20" bestFit="1" customWidth="1"/>
    <col min="8988" max="8989" width="11.453125" style="20" customWidth="1"/>
    <col min="8990" max="8994" width="9.6328125" style="20" bestFit="1" customWidth="1"/>
    <col min="8995" max="8995" width="8.6328125" style="20" bestFit="1" customWidth="1"/>
    <col min="8996" max="9216" width="11.54296875" style="20"/>
    <col min="9217" max="9217" width="30.6328125" style="20" bestFit="1" customWidth="1"/>
    <col min="9218" max="9223" width="9.90625" style="20" bestFit="1" customWidth="1"/>
    <col min="9224" max="9227" width="9.6328125" style="20" bestFit="1" customWidth="1"/>
    <col min="9228" max="9228" width="8.81640625" style="20" bestFit="1" customWidth="1"/>
    <col min="9229" max="9229" width="9.6328125" style="20" bestFit="1" customWidth="1"/>
    <col min="9230" max="9230" width="12.6328125" style="20" bestFit="1" customWidth="1"/>
    <col min="9231" max="9232" width="17" style="20" bestFit="1" customWidth="1"/>
    <col min="9233" max="9233" width="12.6328125" style="20" bestFit="1" customWidth="1"/>
    <col min="9234" max="9234" width="17" style="20" bestFit="1" customWidth="1"/>
    <col min="9235" max="9235" width="17.08984375" style="20" bestFit="1" customWidth="1"/>
    <col min="9236" max="9236" width="12.81640625" style="20" bestFit="1" customWidth="1"/>
    <col min="9237" max="9240" width="9.6328125" style="20" bestFit="1" customWidth="1"/>
    <col min="9241" max="9241" width="11.54296875" style="20"/>
    <col min="9242" max="9242" width="13.6328125" style="20" bestFit="1" customWidth="1"/>
    <col min="9243" max="9243" width="4.36328125" style="20" bestFit="1" customWidth="1"/>
    <col min="9244" max="9245" width="11.453125" style="20" customWidth="1"/>
    <col min="9246" max="9250" width="9.6328125" style="20" bestFit="1" customWidth="1"/>
    <col min="9251" max="9251" width="8.6328125" style="20" bestFit="1" customWidth="1"/>
    <col min="9252" max="9472" width="11.54296875" style="20"/>
    <col min="9473" max="9473" width="30.6328125" style="20" bestFit="1" customWidth="1"/>
    <col min="9474" max="9479" width="9.90625" style="20" bestFit="1" customWidth="1"/>
    <col min="9480" max="9483" width="9.6328125" style="20" bestFit="1" customWidth="1"/>
    <col min="9484" max="9484" width="8.81640625" style="20" bestFit="1" customWidth="1"/>
    <col min="9485" max="9485" width="9.6328125" style="20" bestFit="1" customWidth="1"/>
    <col min="9486" max="9486" width="12.6328125" style="20" bestFit="1" customWidth="1"/>
    <col min="9487" max="9488" width="17" style="20" bestFit="1" customWidth="1"/>
    <col min="9489" max="9489" width="12.6328125" style="20" bestFit="1" customWidth="1"/>
    <col min="9490" max="9490" width="17" style="20" bestFit="1" customWidth="1"/>
    <col min="9491" max="9491" width="17.08984375" style="20" bestFit="1" customWidth="1"/>
    <col min="9492" max="9492" width="12.81640625" style="20" bestFit="1" customWidth="1"/>
    <col min="9493" max="9496" width="9.6328125" style="20" bestFit="1" customWidth="1"/>
    <col min="9497" max="9497" width="11.54296875" style="20"/>
    <col min="9498" max="9498" width="13.6328125" style="20" bestFit="1" customWidth="1"/>
    <col min="9499" max="9499" width="4.36328125" style="20" bestFit="1" customWidth="1"/>
    <col min="9500" max="9501" width="11.453125" style="20" customWidth="1"/>
    <col min="9502" max="9506" width="9.6328125" style="20" bestFit="1" customWidth="1"/>
    <col min="9507" max="9507" width="8.6328125" style="20" bestFit="1" customWidth="1"/>
    <col min="9508" max="9728" width="11.54296875" style="20"/>
    <col min="9729" max="9729" width="30.6328125" style="20" bestFit="1" customWidth="1"/>
    <col min="9730" max="9735" width="9.90625" style="20" bestFit="1" customWidth="1"/>
    <col min="9736" max="9739" width="9.6328125" style="20" bestFit="1" customWidth="1"/>
    <col min="9740" max="9740" width="8.81640625" style="20" bestFit="1" customWidth="1"/>
    <col min="9741" max="9741" width="9.6328125" style="20" bestFit="1" customWidth="1"/>
    <col min="9742" max="9742" width="12.6328125" style="20" bestFit="1" customWidth="1"/>
    <col min="9743" max="9744" width="17" style="20" bestFit="1" customWidth="1"/>
    <col min="9745" max="9745" width="12.6328125" style="20" bestFit="1" customWidth="1"/>
    <col min="9746" max="9746" width="17" style="20" bestFit="1" customWidth="1"/>
    <col min="9747" max="9747" width="17.08984375" style="20" bestFit="1" customWidth="1"/>
    <col min="9748" max="9748" width="12.81640625" style="20" bestFit="1" customWidth="1"/>
    <col min="9749" max="9752" width="9.6328125" style="20" bestFit="1" customWidth="1"/>
    <col min="9753" max="9753" width="11.54296875" style="20"/>
    <col min="9754" max="9754" width="13.6328125" style="20" bestFit="1" customWidth="1"/>
    <col min="9755" max="9755" width="4.36328125" style="20" bestFit="1" customWidth="1"/>
    <col min="9756" max="9757" width="11.453125" style="20" customWidth="1"/>
    <col min="9758" max="9762" width="9.6328125" style="20" bestFit="1" customWidth="1"/>
    <col min="9763" max="9763" width="8.6328125" style="20" bestFit="1" customWidth="1"/>
    <col min="9764" max="9984" width="11.54296875" style="20"/>
    <col min="9985" max="9985" width="30.6328125" style="20" bestFit="1" customWidth="1"/>
    <col min="9986" max="9991" width="9.90625" style="20" bestFit="1" customWidth="1"/>
    <col min="9992" max="9995" width="9.6328125" style="20" bestFit="1" customWidth="1"/>
    <col min="9996" max="9996" width="8.81640625" style="20" bestFit="1" customWidth="1"/>
    <col min="9997" max="9997" width="9.6328125" style="20" bestFit="1" customWidth="1"/>
    <col min="9998" max="9998" width="12.6328125" style="20" bestFit="1" customWidth="1"/>
    <col min="9999" max="10000" width="17" style="20" bestFit="1" customWidth="1"/>
    <col min="10001" max="10001" width="12.6328125" style="20" bestFit="1" customWidth="1"/>
    <col min="10002" max="10002" width="17" style="20" bestFit="1" customWidth="1"/>
    <col min="10003" max="10003" width="17.08984375" style="20" bestFit="1" customWidth="1"/>
    <col min="10004" max="10004" width="12.81640625" style="20" bestFit="1" customWidth="1"/>
    <col min="10005" max="10008" width="9.6328125" style="20" bestFit="1" customWidth="1"/>
    <col min="10009" max="10009" width="11.54296875" style="20"/>
    <col min="10010" max="10010" width="13.6328125" style="20" bestFit="1" customWidth="1"/>
    <col min="10011" max="10011" width="4.36328125" style="20" bestFit="1" customWidth="1"/>
    <col min="10012" max="10013" width="11.453125" style="20" customWidth="1"/>
    <col min="10014" max="10018" width="9.6328125" style="20" bestFit="1" customWidth="1"/>
    <col min="10019" max="10019" width="8.6328125" style="20" bestFit="1" customWidth="1"/>
    <col min="10020" max="10240" width="11.54296875" style="20"/>
    <col min="10241" max="10241" width="30.6328125" style="20" bestFit="1" customWidth="1"/>
    <col min="10242" max="10247" width="9.90625" style="20" bestFit="1" customWidth="1"/>
    <col min="10248" max="10251" width="9.6328125" style="20" bestFit="1" customWidth="1"/>
    <col min="10252" max="10252" width="8.81640625" style="20" bestFit="1" customWidth="1"/>
    <col min="10253" max="10253" width="9.6328125" style="20" bestFit="1" customWidth="1"/>
    <col min="10254" max="10254" width="12.6328125" style="20" bestFit="1" customWidth="1"/>
    <col min="10255" max="10256" width="17" style="20" bestFit="1" customWidth="1"/>
    <col min="10257" max="10257" width="12.6328125" style="20" bestFit="1" customWidth="1"/>
    <col min="10258" max="10258" width="17" style="20" bestFit="1" customWidth="1"/>
    <col min="10259" max="10259" width="17.08984375" style="20" bestFit="1" customWidth="1"/>
    <col min="10260" max="10260" width="12.81640625" style="20" bestFit="1" customWidth="1"/>
    <col min="10261" max="10264" width="9.6328125" style="20" bestFit="1" customWidth="1"/>
    <col min="10265" max="10265" width="11.54296875" style="20"/>
    <col min="10266" max="10266" width="13.6328125" style="20" bestFit="1" customWidth="1"/>
    <col min="10267" max="10267" width="4.36328125" style="20" bestFit="1" customWidth="1"/>
    <col min="10268" max="10269" width="11.453125" style="20" customWidth="1"/>
    <col min="10270" max="10274" width="9.6328125" style="20" bestFit="1" customWidth="1"/>
    <col min="10275" max="10275" width="8.6328125" style="20" bestFit="1" customWidth="1"/>
    <col min="10276" max="10496" width="11.54296875" style="20"/>
    <col min="10497" max="10497" width="30.6328125" style="20" bestFit="1" customWidth="1"/>
    <col min="10498" max="10503" width="9.90625" style="20" bestFit="1" customWidth="1"/>
    <col min="10504" max="10507" width="9.6328125" style="20" bestFit="1" customWidth="1"/>
    <col min="10508" max="10508" width="8.81640625" style="20" bestFit="1" customWidth="1"/>
    <col min="10509" max="10509" width="9.6328125" style="20" bestFit="1" customWidth="1"/>
    <col min="10510" max="10510" width="12.6328125" style="20" bestFit="1" customWidth="1"/>
    <col min="10511" max="10512" width="17" style="20" bestFit="1" customWidth="1"/>
    <col min="10513" max="10513" width="12.6328125" style="20" bestFit="1" customWidth="1"/>
    <col min="10514" max="10514" width="17" style="20" bestFit="1" customWidth="1"/>
    <col min="10515" max="10515" width="17.08984375" style="20" bestFit="1" customWidth="1"/>
    <col min="10516" max="10516" width="12.81640625" style="20" bestFit="1" customWidth="1"/>
    <col min="10517" max="10520" width="9.6328125" style="20" bestFit="1" customWidth="1"/>
    <col min="10521" max="10521" width="11.54296875" style="20"/>
    <col min="10522" max="10522" width="13.6328125" style="20" bestFit="1" customWidth="1"/>
    <col min="10523" max="10523" width="4.36328125" style="20" bestFit="1" customWidth="1"/>
    <col min="10524" max="10525" width="11.453125" style="20" customWidth="1"/>
    <col min="10526" max="10530" width="9.6328125" style="20" bestFit="1" customWidth="1"/>
    <col min="10531" max="10531" width="8.6328125" style="20" bestFit="1" customWidth="1"/>
    <col min="10532" max="10752" width="11.54296875" style="20"/>
    <col min="10753" max="10753" width="30.6328125" style="20" bestFit="1" customWidth="1"/>
    <col min="10754" max="10759" width="9.90625" style="20" bestFit="1" customWidth="1"/>
    <col min="10760" max="10763" width="9.6328125" style="20" bestFit="1" customWidth="1"/>
    <col min="10764" max="10764" width="8.81640625" style="20" bestFit="1" customWidth="1"/>
    <col min="10765" max="10765" width="9.6328125" style="20" bestFit="1" customWidth="1"/>
    <col min="10766" max="10766" width="12.6328125" style="20" bestFit="1" customWidth="1"/>
    <col min="10767" max="10768" width="17" style="20" bestFit="1" customWidth="1"/>
    <col min="10769" max="10769" width="12.6328125" style="20" bestFit="1" customWidth="1"/>
    <col min="10770" max="10770" width="17" style="20" bestFit="1" customWidth="1"/>
    <col min="10771" max="10771" width="17.08984375" style="20" bestFit="1" customWidth="1"/>
    <col min="10772" max="10772" width="12.81640625" style="20" bestFit="1" customWidth="1"/>
    <col min="10773" max="10776" width="9.6328125" style="20" bestFit="1" customWidth="1"/>
    <col min="10777" max="10777" width="11.54296875" style="20"/>
    <col min="10778" max="10778" width="13.6328125" style="20" bestFit="1" customWidth="1"/>
    <col min="10779" max="10779" width="4.36328125" style="20" bestFit="1" customWidth="1"/>
    <col min="10780" max="10781" width="11.453125" style="20" customWidth="1"/>
    <col min="10782" max="10786" width="9.6328125" style="20" bestFit="1" customWidth="1"/>
    <col min="10787" max="10787" width="8.6328125" style="20" bestFit="1" customWidth="1"/>
    <col min="10788" max="11008" width="11.54296875" style="20"/>
    <col min="11009" max="11009" width="30.6328125" style="20" bestFit="1" customWidth="1"/>
    <col min="11010" max="11015" width="9.90625" style="20" bestFit="1" customWidth="1"/>
    <col min="11016" max="11019" width="9.6328125" style="20" bestFit="1" customWidth="1"/>
    <col min="11020" max="11020" width="8.81640625" style="20" bestFit="1" customWidth="1"/>
    <col min="11021" max="11021" width="9.6328125" style="20" bestFit="1" customWidth="1"/>
    <col min="11022" max="11022" width="12.6328125" style="20" bestFit="1" customWidth="1"/>
    <col min="11023" max="11024" width="17" style="20" bestFit="1" customWidth="1"/>
    <col min="11025" max="11025" width="12.6328125" style="20" bestFit="1" customWidth="1"/>
    <col min="11026" max="11026" width="17" style="20" bestFit="1" customWidth="1"/>
    <col min="11027" max="11027" width="17.08984375" style="20" bestFit="1" customWidth="1"/>
    <col min="11028" max="11028" width="12.81640625" style="20" bestFit="1" customWidth="1"/>
    <col min="11029" max="11032" width="9.6328125" style="20" bestFit="1" customWidth="1"/>
    <col min="11033" max="11033" width="11.54296875" style="20"/>
    <col min="11034" max="11034" width="13.6328125" style="20" bestFit="1" customWidth="1"/>
    <col min="11035" max="11035" width="4.36328125" style="20" bestFit="1" customWidth="1"/>
    <col min="11036" max="11037" width="11.453125" style="20" customWidth="1"/>
    <col min="11038" max="11042" width="9.6328125" style="20" bestFit="1" customWidth="1"/>
    <col min="11043" max="11043" width="8.6328125" style="20" bestFit="1" customWidth="1"/>
    <col min="11044" max="11264" width="11.54296875" style="20"/>
    <col min="11265" max="11265" width="30.6328125" style="20" bestFit="1" customWidth="1"/>
    <col min="11266" max="11271" width="9.90625" style="20" bestFit="1" customWidth="1"/>
    <col min="11272" max="11275" width="9.6328125" style="20" bestFit="1" customWidth="1"/>
    <col min="11276" max="11276" width="8.81640625" style="20" bestFit="1" customWidth="1"/>
    <col min="11277" max="11277" width="9.6328125" style="20" bestFit="1" customWidth="1"/>
    <col min="11278" max="11278" width="12.6328125" style="20" bestFit="1" customWidth="1"/>
    <col min="11279" max="11280" width="17" style="20" bestFit="1" customWidth="1"/>
    <col min="11281" max="11281" width="12.6328125" style="20" bestFit="1" customWidth="1"/>
    <col min="11282" max="11282" width="17" style="20" bestFit="1" customWidth="1"/>
    <col min="11283" max="11283" width="17.08984375" style="20" bestFit="1" customWidth="1"/>
    <col min="11284" max="11284" width="12.81640625" style="20" bestFit="1" customWidth="1"/>
    <col min="11285" max="11288" width="9.6328125" style="20" bestFit="1" customWidth="1"/>
    <col min="11289" max="11289" width="11.54296875" style="20"/>
    <col min="11290" max="11290" width="13.6328125" style="20" bestFit="1" customWidth="1"/>
    <col min="11291" max="11291" width="4.36328125" style="20" bestFit="1" customWidth="1"/>
    <col min="11292" max="11293" width="11.453125" style="20" customWidth="1"/>
    <col min="11294" max="11298" width="9.6328125" style="20" bestFit="1" customWidth="1"/>
    <col min="11299" max="11299" width="8.6328125" style="20" bestFit="1" customWidth="1"/>
    <col min="11300" max="11520" width="11.54296875" style="20"/>
    <col min="11521" max="11521" width="30.6328125" style="20" bestFit="1" customWidth="1"/>
    <col min="11522" max="11527" width="9.90625" style="20" bestFit="1" customWidth="1"/>
    <col min="11528" max="11531" width="9.6328125" style="20" bestFit="1" customWidth="1"/>
    <col min="11532" max="11532" width="8.81640625" style="20" bestFit="1" customWidth="1"/>
    <col min="11533" max="11533" width="9.6328125" style="20" bestFit="1" customWidth="1"/>
    <col min="11534" max="11534" width="12.6328125" style="20" bestFit="1" customWidth="1"/>
    <col min="11535" max="11536" width="17" style="20" bestFit="1" customWidth="1"/>
    <col min="11537" max="11537" width="12.6328125" style="20" bestFit="1" customWidth="1"/>
    <col min="11538" max="11538" width="17" style="20" bestFit="1" customWidth="1"/>
    <col min="11539" max="11539" width="17.08984375" style="20" bestFit="1" customWidth="1"/>
    <col min="11540" max="11540" width="12.81640625" style="20" bestFit="1" customWidth="1"/>
    <col min="11541" max="11544" width="9.6328125" style="20" bestFit="1" customWidth="1"/>
    <col min="11545" max="11545" width="11.54296875" style="20"/>
    <col min="11546" max="11546" width="13.6328125" style="20" bestFit="1" customWidth="1"/>
    <col min="11547" max="11547" width="4.36328125" style="20" bestFit="1" customWidth="1"/>
    <col min="11548" max="11549" width="11.453125" style="20" customWidth="1"/>
    <col min="11550" max="11554" width="9.6328125" style="20" bestFit="1" customWidth="1"/>
    <col min="11555" max="11555" width="8.6328125" style="20" bestFit="1" customWidth="1"/>
    <col min="11556" max="11776" width="11.54296875" style="20"/>
    <col min="11777" max="11777" width="30.6328125" style="20" bestFit="1" customWidth="1"/>
    <col min="11778" max="11783" width="9.90625" style="20" bestFit="1" customWidth="1"/>
    <col min="11784" max="11787" width="9.6328125" style="20" bestFit="1" customWidth="1"/>
    <col min="11788" max="11788" width="8.81640625" style="20" bestFit="1" customWidth="1"/>
    <col min="11789" max="11789" width="9.6328125" style="20" bestFit="1" customWidth="1"/>
    <col min="11790" max="11790" width="12.6328125" style="20" bestFit="1" customWidth="1"/>
    <col min="11791" max="11792" width="17" style="20" bestFit="1" customWidth="1"/>
    <col min="11793" max="11793" width="12.6328125" style="20" bestFit="1" customWidth="1"/>
    <col min="11794" max="11794" width="17" style="20" bestFit="1" customWidth="1"/>
    <col min="11795" max="11795" width="17.08984375" style="20" bestFit="1" customWidth="1"/>
    <col min="11796" max="11796" width="12.81640625" style="20" bestFit="1" customWidth="1"/>
    <col min="11797" max="11800" width="9.6328125" style="20" bestFit="1" customWidth="1"/>
    <col min="11801" max="11801" width="11.54296875" style="20"/>
    <col min="11802" max="11802" width="13.6328125" style="20" bestFit="1" customWidth="1"/>
    <col min="11803" max="11803" width="4.36328125" style="20" bestFit="1" customWidth="1"/>
    <col min="11804" max="11805" width="11.453125" style="20" customWidth="1"/>
    <col min="11806" max="11810" width="9.6328125" style="20" bestFit="1" customWidth="1"/>
    <col min="11811" max="11811" width="8.6328125" style="20" bestFit="1" customWidth="1"/>
    <col min="11812" max="12032" width="11.54296875" style="20"/>
    <col min="12033" max="12033" width="30.6328125" style="20" bestFit="1" customWidth="1"/>
    <col min="12034" max="12039" width="9.90625" style="20" bestFit="1" customWidth="1"/>
    <col min="12040" max="12043" width="9.6328125" style="20" bestFit="1" customWidth="1"/>
    <col min="12044" max="12044" width="8.81640625" style="20" bestFit="1" customWidth="1"/>
    <col min="12045" max="12045" width="9.6328125" style="20" bestFit="1" customWidth="1"/>
    <col min="12046" max="12046" width="12.6328125" style="20" bestFit="1" customWidth="1"/>
    <col min="12047" max="12048" width="17" style="20" bestFit="1" customWidth="1"/>
    <col min="12049" max="12049" width="12.6328125" style="20" bestFit="1" customWidth="1"/>
    <col min="12050" max="12050" width="17" style="20" bestFit="1" customWidth="1"/>
    <col min="12051" max="12051" width="17.08984375" style="20" bestFit="1" customWidth="1"/>
    <col min="12052" max="12052" width="12.81640625" style="20" bestFit="1" customWidth="1"/>
    <col min="12053" max="12056" width="9.6328125" style="20" bestFit="1" customWidth="1"/>
    <col min="12057" max="12057" width="11.54296875" style="20"/>
    <col min="12058" max="12058" width="13.6328125" style="20" bestFit="1" customWidth="1"/>
    <col min="12059" max="12059" width="4.36328125" style="20" bestFit="1" customWidth="1"/>
    <col min="12060" max="12061" width="11.453125" style="20" customWidth="1"/>
    <col min="12062" max="12066" width="9.6328125" style="20" bestFit="1" customWidth="1"/>
    <col min="12067" max="12067" width="8.6328125" style="20" bestFit="1" customWidth="1"/>
    <col min="12068" max="12288" width="11.54296875" style="20"/>
    <col min="12289" max="12289" width="30.6328125" style="20" bestFit="1" customWidth="1"/>
    <col min="12290" max="12295" width="9.90625" style="20" bestFit="1" customWidth="1"/>
    <col min="12296" max="12299" width="9.6328125" style="20" bestFit="1" customWidth="1"/>
    <col min="12300" max="12300" width="8.81640625" style="20" bestFit="1" customWidth="1"/>
    <col min="12301" max="12301" width="9.6328125" style="20" bestFit="1" customWidth="1"/>
    <col min="12302" max="12302" width="12.6328125" style="20" bestFit="1" customWidth="1"/>
    <col min="12303" max="12304" width="17" style="20" bestFit="1" customWidth="1"/>
    <col min="12305" max="12305" width="12.6328125" style="20" bestFit="1" customWidth="1"/>
    <col min="12306" max="12306" width="17" style="20" bestFit="1" customWidth="1"/>
    <col min="12307" max="12307" width="17.08984375" style="20" bestFit="1" customWidth="1"/>
    <col min="12308" max="12308" width="12.81640625" style="20" bestFit="1" customWidth="1"/>
    <col min="12309" max="12312" width="9.6328125" style="20" bestFit="1" customWidth="1"/>
    <col min="12313" max="12313" width="11.54296875" style="20"/>
    <col min="12314" max="12314" width="13.6328125" style="20" bestFit="1" customWidth="1"/>
    <col min="12315" max="12315" width="4.36328125" style="20" bestFit="1" customWidth="1"/>
    <col min="12316" max="12317" width="11.453125" style="20" customWidth="1"/>
    <col min="12318" max="12322" width="9.6328125" style="20" bestFit="1" customWidth="1"/>
    <col min="12323" max="12323" width="8.6328125" style="20" bestFit="1" customWidth="1"/>
    <col min="12324" max="12544" width="11.54296875" style="20"/>
    <col min="12545" max="12545" width="30.6328125" style="20" bestFit="1" customWidth="1"/>
    <col min="12546" max="12551" width="9.90625" style="20" bestFit="1" customWidth="1"/>
    <col min="12552" max="12555" width="9.6328125" style="20" bestFit="1" customWidth="1"/>
    <col min="12556" max="12556" width="8.81640625" style="20" bestFit="1" customWidth="1"/>
    <col min="12557" max="12557" width="9.6328125" style="20" bestFit="1" customWidth="1"/>
    <col min="12558" max="12558" width="12.6328125" style="20" bestFit="1" customWidth="1"/>
    <col min="12559" max="12560" width="17" style="20" bestFit="1" customWidth="1"/>
    <col min="12561" max="12561" width="12.6328125" style="20" bestFit="1" customWidth="1"/>
    <col min="12562" max="12562" width="17" style="20" bestFit="1" customWidth="1"/>
    <col min="12563" max="12563" width="17.08984375" style="20" bestFit="1" customWidth="1"/>
    <col min="12564" max="12564" width="12.81640625" style="20" bestFit="1" customWidth="1"/>
    <col min="12565" max="12568" width="9.6328125" style="20" bestFit="1" customWidth="1"/>
    <col min="12569" max="12569" width="11.54296875" style="20"/>
    <col min="12570" max="12570" width="13.6328125" style="20" bestFit="1" customWidth="1"/>
    <col min="12571" max="12571" width="4.36328125" style="20" bestFit="1" customWidth="1"/>
    <col min="12572" max="12573" width="11.453125" style="20" customWidth="1"/>
    <col min="12574" max="12578" width="9.6328125" style="20" bestFit="1" customWidth="1"/>
    <col min="12579" max="12579" width="8.6328125" style="20" bestFit="1" customWidth="1"/>
    <col min="12580" max="12800" width="11.54296875" style="20"/>
    <col min="12801" max="12801" width="30.6328125" style="20" bestFit="1" customWidth="1"/>
    <col min="12802" max="12807" width="9.90625" style="20" bestFit="1" customWidth="1"/>
    <col min="12808" max="12811" width="9.6328125" style="20" bestFit="1" customWidth="1"/>
    <col min="12812" max="12812" width="8.81640625" style="20" bestFit="1" customWidth="1"/>
    <col min="12813" max="12813" width="9.6328125" style="20" bestFit="1" customWidth="1"/>
    <col min="12814" max="12814" width="12.6328125" style="20" bestFit="1" customWidth="1"/>
    <col min="12815" max="12816" width="17" style="20" bestFit="1" customWidth="1"/>
    <col min="12817" max="12817" width="12.6328125" style="20" bestFit="1" customWidth="1"/>
    <col min="12818" max="12818" width="17" style="20" bestFit="1" customWidth="1"/>
    <col min="12819" max="12819" width="17.08984375" style="20" bestFit="1" customWidth="1"/>
    <col min="12820" max="12820" width="12.81640625" style="20" bestFit="1" customWidth="1"/>
    <col min="12821" max="12824" width="9.6328125" style="20" bestFit="1" customWidth="1"/>
    <col min="12825" max="12825" width="11.54296875" style="20"/>
    <col min="12826" max="12826" width="13.6328125" style="20" bestFit="1" customWidth="1"/>
    <col min="12827" max="12827" width="4.36328125" style="20" bestFit="1" customWidth="1"/>
    <col min="12828" max="12829" width="11.453125" style="20" customWidth="1"/>
    <col min="12830" max="12834" width="9.6328125" style="20" bestFit="1" customWidth="1"/>
    <col min="12835" max="12835" width="8.6328125" style="20" bestFit="1" customWidth="1"/>
    <col min="12836" max="13056" width="11.54296875" style="20"/>
    <col min="13057" max="13057" width="30.6328125" style="20" bestFit="1" customWidth="1"/>
    <col min="13058" max="13063" width="9.90625" style="20" bestFit="1" customWidth="1"/>
    <col min="13064" max="13067" width="9.6328125" style="20" bestFit="1" customWidth="1"/>
    <col min="13068" max="13068" width="8.81640625" style="20" bestFit="1" customWidth="1"/>
    <col min="13069" max="13069" width="9.6328125" style="20" bestFit="1" customWidth="1"/>
    <col min="13070" max="13070" width="12.6328125" style="20" bestFit="1" customWidth="1"/>
    <col min="13071" max="13072" width="17" style="20" bestFit="1" customWidth="1"/>
    <col min="13073" max="13073" width="12.6328125" style="20" bestFit="1" customWidth="1"/>
    <col min="13074" max="13074" width="17" style="20" bestFit="1" customWidth="1"/>
    <col min="13075" max="13075" width="17.08984375" style="20" bestFit="1" customWidth="1"/>
    <col min="13076" max="13076" width="12.81640625" style="20" bestFit="1" customWidth="1"/>
    <col min="13077" max="13080" width="9.6328125" style="20" bestFit="1" customWidth="1"/>
    <col min="13081" max="13081" width="11.54296875" style="20"/>
    <col min="13082" max="13082" width="13.6328125" style="20" bestFit="1" customWidth="1"/>
    <col min="13083" max="13083" width="4.36328125" style="20" bestFit="1" customWidth="1"/>
    <col min="13084" max="13085" width="11.453125" style="20" customWidth="1"/>
    <col min="13086" max="13090" width="9.6328125" style="20" bestFit="1" customWidth="1"/>
    <col min="13091" max="13091" width="8.6328125" style="20" bestFit="1" customWidth="1"/>
    <col min="13092" max="13312" width="11.54296875" style="20"/>
    <col min="13313" max="13313" width="30.6328125" style="20" bestFit="1" customWidth="1"/>
    <col min="13314" max="13319" width="9.90625" style="20" bestFit="1" customWidth="1"/>
    <col min="13320" max="13323" width="9.6328125" style="20" bestFit="1" customWidth="1"/>
    <col min="13324" max="13324" width="8.81640625" style="20" bestFit="1" customWidth="1"/>
    <col min="13325" max="13325" width="9.6328125" style="20" bestFit="1" customWidth="1"/>
    <col min="13326" max="13326" width="12.6328125" style="20" bestFit="1" customWidth="1"/>
    <col min="13327" max="13328" width="17" style="20" bestFit="1" customWidth="1"/>
    <col min="13329" max="13329" width="12.6328125" style="20" bestFit="1" customWidth="1"/>
    <col min="13330" max="13330" width="17" style="20" bestFit="1" customWidth="1"/>
    <col min="13331" max="13331" width="17.08984375" style="20" bestFit="1" customWidth="1"/>
    <col min="13332" max="13332" width="12.81640625" style="20" bestFit="1" customWidth="1"/>
    <col min="13333" max="13336" width="9.6328125" style="20" bestFit="1" customWidth="1"/>
    <col min="13337" max="13337" width="11.54296875" style="20"/>
    <col min="13338" max="13338" width="13.6328125" style="20" bestFit="1" customWidth="1"/>
    <col min="13339" max="13339" width="4.36328125" style="20" bestFit="1" customWidth="1"/>
    <col min="13340" max="13341" width="11.453125" style="20" customWidth="1"/>
    <col min="13342" max="13346" width="9.6328125" style="20" bestFit="1" customWidth="1"/>
    <col min="13347" max="13347" width="8.6328125" style="20" bestFit="1" customWidth="1"/>
    <col min="13348" max="13568" width="11.54296875" style="20"/>
    <col min="13569" max="13569" width="30.6328125" style="20" bestFit="1" customWidth="1"/>
    <col min="13570" max="13575" width="9.90625" style="20" bestFit="1" customWidth="1"/>
    <col min="13576" max="13579" width="9.6328125" style="20" bestFit="1" customWidth="1"/>
    <col min="13580" max="13580" width="8.81640625" style="20" bestFit="1" customWidth="1"/>
    <col min="13581" max="13581" width="9.6328125" style="20" bestFit="1" customWidth="1"/>
    <col min="13582" max="13582" width="12.6328125" style="20" bestFit="1" customWidth="1"/>
    <col min="13583" max="13584" width="17" style="20" bestFit="1" customWidth="1"/>
    <col min="13585" max="13585" width="12.6328125" style="20" bestFit="1" customWidth="1"/>
    <col min="13586" max="13586" width="17" style="20" bestFit="1" customWidth="1"/>
    <col min="13587" max="13587" width="17.08984375" style="20" bestFit="1" customWidth="1"/>
    <col min="13588" max="13588" width="12.81640625" style="20" bestFit="1" customWidth="1"/>
    <col min="13589" max="13592" width="9.6328125" style="20" bestFit="1" customWidth="1"/>
    <col min="13593" max="13593" width="11.54296875" style="20"/>
    <col min="13594" max="13594" width="13.6328125" style="20" bestFit="1" customWidth="1"/>
    <col min="13595" max="13595" width="4.36328125" style="20" bestFit="1" customWidth="1"/>
    <col min="13596" max="13597" width="11.453125" style="20" customWidth="1"/>
    <col min="13598" max="13602" width="9.6328125" style="20" bestFit="1" customWidth="1"/>
    <col min="13603" max="13603" width="8.6328125" style="20" bestFit="1" customWidth="1"/>
    <col min="13604" max="13824" width="11.54296875" style="20"/>
    <col min="13825" max="13825" width="30.6328125" style="20" bestFit="1" customWidth="1"/>
    <col min="13826" max="13831" width="9.90625" style="20" bestFit="1" customWidth="1"/>
    <col min="13832" max="13835" width="9.6328125" style="20" bestFit="1" customWidth="1"/>
    <col min="13836" max="13836" width="8.81640625" style="20" bestFit="1" customWidth="1"/>
    <col min="13837" max="13837" width="9.6328125" style="20" bestFit="1" customWidth="1"/>
    <col min="13838" max="13838" width="12.6328125" style="20" bestFit="1" customWidth="1"/>
    <col min="13839" max="13840" width="17" style="20" bestFit="1" customWidth="1"/>
    <col min="13841" max="13841" width="12.6328125" style="20" bestFit="1" customWidth="1"/>
    <col min="13842" max="13842" width="17" style="20" bestFit="1" customWidth="1"/>
    <col min="13843" max="13843" width="17.08984375" style="20" bestFit="1" customWidth="1"/>
    <col min="13844" max="13844" width="12.81640625" style="20" bestFit="1" customWidth="1"/>
    <col min="13845" max="13848" width="9.6328125" style="20" bestFit="1" customWidth="1"/>
    <col min="13849" max="13849" width="11.54296875" style="20"/>
    <col min="13850" max="13850" width="13.6328125" style="20" bestFit="1" customWidth="1"/>
    <col min="13851" max="13851" width="4.36328125" style="20" bestFit="1" customWidth="1"/>
    <col min="13852" max="13853" width="11.453125" style="20" customWidth="1"/>
    <col min="13854" max="13858" width="9.6328125" style="20" bestFit="1" customWidth="1"/>
    <col min="13859" max="13859" width="8.6328125" style="20" bestFit="1" customWidth="1"/>
    <col min="13860" max="14080" width="11.54296875" style="20"/>
    <col min="14081" max="14081" width="30.6328125" style="20" bestFit="1" customWidth="1"/>
    <col min="14082" max="14087" width="9.90625" style="20" bestFit="1" customWidth="1"/>
    <col min="14088" max="14091" width="9.6328125" style="20" bestFit="1" customWidth="1"/>
    <col min="14092" max="14092" width="8.81640625" style="20" bestFit="1" customWidth="1"/>
    <col min="14093" max="14093" width="9.6328125" style="20" bestFit="1" customWidth="1"/>
    <col min="14094" max="14094" width="12.6328125" style="20" bestFit="1" customWidth="1"/>
    <col min="14095" max="14096" width="17" style="20" bestFit="1" customWidth="1"/>
    <col min="14097" max="14097" width="12.6328125" style="20" bestFit="1" customWidth="1"/>
    <col min="14098" max="14098" width="17" style="20" bestFit="1" customWidth="1"/>
    <col min="14099" max="14099" width="17.08984375" style="20" bestFit="1" customWidth="1"/>
    <col min="14100" max="14100" width="12.81640625" style="20" bestFit="1" customWidth="1"/>
    <col min="14101" max="14104" width="9.6328125" style="20" bestFit="1" customWidth="1"/>
    <col min="14105" max="14105" width="11.54296875" style="20"/>
    <col min="14106" max="14106" width="13.6328125" style="20" bestFit="1" customWidth="1"/>
    <col min="14107" max="14107" width="4.36328125" style="20" bestFit="1" customWidth="1"/>
    <col min="14108" max="14109" width="11.453125" style="20" customWidth="1"/>
    <col min="14110" max="14114" width="9.6328125" style="20" bestFit="1" customWidth="1"/>
    <col min="14115" max="14115" width="8.6328125" style="20" bestFit="1" customWidth="1"/>
    <col min="14116" max="14336" width="11.54296875" style="20"/>
    <col min="14337" max="14337" width="30.6328125" style="20" bestFit="1" customWidth="1"/>
    <col min="14338" max="14343" width="9.90625" style="20" bestFit="1" customWidth="1"/>
    <col min="14344" max="14347" width="9.6328125" style="20" bestFit="1" customWidth="1"/>
    <col min="14348" max="14348" width="8.81640625" style="20" bestFit="1" customWidth="1"/>
    <col min="14349" max="14349" width="9.6328125" style="20" bestFit="1" customWidth="1"/>
    <col min="14350" max="14350" width="12.6328125" style="20" bestFit="1" customWidth="1"/>
    <col min="14351" max="14352" width="17" style="20" bestFit="1" customWidth="1"/>
    <col min="14353" max="14353" width="12.6328125" style="20" bestFit="1" customWidth="1"/>
    <col min="14354" max="14354" width="17" style="20" bestFit="1" customWidth="1"/>
    <col min="14355" max="14355" width="17.08984375" style="20" bestFit="1" customWidth="1"/>
    <col min="14356" max="14356" width="12.81640625" style="20" bestFit="1" customWidth="1"/>
    <col min="14357" max="14360" width="9.6328125" style="20" bestFit="1" customWidth="1"/>
    <col min="14361" max="14361" width="11.54296875" style="20"/>
    <col min="14362" max="14362" width="13.6328125" style="20" bestFit="1" customWidth="1"/>
    <col min="14363" max="14363" width="4.36328125" style="20" bestFit="1" customWidth="1"/>
    <col min="14364" max="14365" width="11.453125" style="20" customWidth="1"/>
    <col min="14366" max="14370" width="9.6328125" style="20" bestFit="1" customWidth="1"/>
    <col min="14371" max="14371" width="8.6328125" style="20" bestFit="1" customWidth="1"/>
    <col min="14372" max="14592" width="11.54296875" style="20"/>
    <col min="14593" max="14593" width="30.6328125" style="20" bestFit="1" customWidth="1"/>
    <col min="14594" max="14599" width="9.90625" style="20" bestFit="1" customWidth="1"/>
    <col min="14600" max="14603" width="9.6328125" style="20" bestFit="1" customWidth="1"/>
    <col min="14604" max="14604" width="8.81640625" style="20" bestFit="1" customWidth="1"/>
    <col min="14605" max="14605" width="9.6328125" style="20" bestFit="1" customWidth="1"/>
    <col min="14606" max="14606" width="12.6328125" style="20" bestFit="1" customWidth="1"/>
    <col min="14607" max="14608" width="17" style="20" bestFit="1" customWidth="1"/>
    <col min="14609" max="14609" width="12.6328125" style="20" bestFit="1" customWidth="1"/>
    <col min="14610" max="14610" width="17" style="20" bestFit="1" customWidth="1"/>
    <col min="14611" max="14611" width="17.08984375" style="20" bestFit="1" customWidth="1"/>
    <col min="14612" max="14612" width="12.81640625" style="20" bestFit="1" customWidth="1"/>
    <col min="14613" max="14616" width="9.6328125" style="20" bestFit="1" customWidth="1"/>
    <col min="14617" max="14617" width="11.54296875" style="20"/>
    <col min="14618" max="14618" width="13.6328125" style="20" bestFit="1" customWidth="1"/>
    <col min="14619" max="14619" width="4.36328125" style="20" bestFit="1" customWidth="1"/>
    <col min="14620" max="14621" width="11.453125" style="20" customWidth="1"/>
    <col min="14622" max="14626" width="9.6328125" style="20" bestFit="1" customWidth="1"/>
    <col min="14627" max="14627" width="8.6328125" style="20" bestFit="1" customWidth="1"/>
    <col min="14628" max="14848" width="11.54296875" style="20"/>
    <col min="14849" max="14849" width="30.6328125" style="20" bestFit="1" customWidth="1"/>
    <col min="14850" max="14855" width="9.90625" style="20" bestFit="1" customWidth="1"/>
    <col min="14856" max="14859" width="9.6328125" style="20" bestFit="1" customWidth="1"/>
    <col min="14860" max="14860" width="8.81640625" style="20" bestFit="1" customWidth="1"/>
    <col min="14861" max="14861" width="9.6328125" style="20" bestFit="1" customWidth="1"/>
    <col min="14862" max="14862" width="12.6328125" style="20" bestFit="1" customWidth="1"/>
    <col min="14863" max="14864" width="17" style="20" bestFit="1" customWidth="1"/>
    <col min="14865" max="14865" width="12.6328125" style="20" bestFit="1" customWidth="1"/>
    <col min="14866" max="14866" width="17" style="20" bestFit="1" customWidth="1"/>
    <col min="14867" max="14867" width="17.08984375" style="20" bestFit="1" customWidth="1"/>
    <col min="14868" max="14868" width="12.81640625" style="20" bestFit="1" customWidth="1"/>
    <col min="14869" max="14872" width="9.6328125" style="20" bestFit="1" customWidth="1"/>
    <col min="14873" max="14873" width="11.54296875" style="20"/>
    <col min="14874" max="14874" width="13.6328125" style="20" bestFit="1" customWidth="1"/>
    <col min="14875" max="14875" width="4.36328125" style="20" bestFit="1" customWidth="1"/>
    <col min="14876" max="14877" width="11.453125" style="20" customWidth="1"/>
    <col min="14878" max="14882" width="9.6328125" style="20" bestFit="1" customWidth="1"/>
    <col min="14883" max="14883" width="8.6328125" style="20" bestFit="1" customWidth="1"/>
    <col min="14884" max="15104" width="11.54296875" style="20"/>
    <col min="15105" max="15105" width="30.6328125" style="20" bestFit="1" customWidth="1"/>
    <col min="15106" max="15111" width="9.90625" style="20" bestFit="1" customWidth="1"/>
    <col min="15112" max="15115" width="9.6328125" style="20" bestFit="1" customWidth="1"/>
    <col min="15116" max="15116" width="8.81640625" style="20" bestFit="1" customWidth="1"/>
    <col min="15117" max="15117" width="9.6328125" style="20" bestFit="1" customWidth="1"/>
    <col min="15118" max="15118" width="12.6328125" style="20" bestFit="1" customWidth="1"/>
    <col min="15119" max="15120" width="17" style="20" bestFit="1" customWidth="1"/>
    <col min="15121" max="15121" width="12.6328125" style="20" bestFit="1" customWidth="1"/>
    <col min="15122" max="15122" width="17" style="20" bestFit="1" customWidth="1"/>
    <col min="15123" max="15123" width="17.08984375" style="20" bestFit="1" customWidth="1"/>
    <col min="15124" max="15124" width="12.81640625" style="20" bestFit="1" customWidth="1"/>
    <col min="15125" max="15128" width="9.6328125" style="20" bestFit="1" customWidth="1"/>
    <col min="15129" max="15129" width="11.54296875" style="20"/>
    <col min="15130" max="15130" width="13.6328125" style="20" bestFit="1" customWidth="1"/>
    <col min="15131" max="15131" width="4.36328125" style="20" bestFit="1" customWidth="1"/>
    <col min="15132" max="15133" width="11.453125" style="20" customWidth="1"/>
    <col min="15134" max="15138" width="9.6328125" style="20" bestFit="1" customWidth="1"/>
    <col min="15139" max="15139" width="8.6328125" style="20" bestFit="1" customWidth="1"/>
    <col min="15140" max="15360" width="11.54296875" style="20"/>
    <col min="15361" max="15361" width="30.6328125" style="20" bestFit="1" customWidth="1"/>
    <col min="15362" max="15367" width="9.90625" style="20" bestFit="1" customWidth="1"/>
    <col min="15368" max="15371" width="9.6328125" style="20" bestFit="1" customWidth="1"/>
    <col min="15372" max="15372" width="8.81640625" style="20" bestFit="1" customWidth="1"/>
    <col min="15373" max="15373" width="9.6328125" style="20" bestFit="1" customWidth="1"/>
    <col min="15374" max="15374" width="12.6328125" style="20" bestFit="1" customWidth="1"/>
    <col min="15375" max="15376" width="17" style="20" bestFit="1" customWidth="1"/>
    <col min="15377" max="15377" width="12.6328125" style="20" bestFit="1" customWidth="1"/>
    <col min="15378" max="15378" width="17" style="20" bestFit="1" customWidth="1"/>
    <col min="15379" max="15379" width="17.08984375" style="20" bestFit="1" customWidth="1"/>
    <col min="15380" max="15380" width="12.81640625" style="20" bestFit="1" customWidth="1"/>
    <col min="15381" max="15384" width="9.6328125" style="20" bestFit="1" customWidth="1"/>
    <col min="15385" max="15385" width="11.54296875" style="20"/>
    <col min="15386" max="15386" width="13.6328125" style="20" bestFit="1" customWidth="1"/>
    <col min="15387" max="15387" width="4.36328125" style="20" bestFit="1" customWidth="1"/>
    <col min="15388" max="15389" width="11.453125" style="20" customWidth="1"/>
    <col min="15390" max="15394" width="9.6328125" style="20" bestFit="1" customWidth="1"/>
    <col min="15395" max="15395" width="8.6328125" style="20" bestFit="1" customWidth="1"/>
    <col min="15396" max="15616" width="11.54296875" style="20"/>
    <col min="15617" max="15617" width="30.6328125" style="20" bestFit="1" customWidth="1"/>
    <col min="15618" max="15623" width="9.90625" style="20" bestFit="1" customWidth="1"/>
    <col min="15624" max="15627" width="9.6328125" style="20" bestFit="1" customWidth="1"/>
    <col min="15628" max="15628" width="8.81640625" style="20" bestFit="1" customWidth="1"/>
    <col min="15629" max="15629" width="9.6328125" style="20" bestFit="1" customWidth="1"/>
    <col min="15630" max="15630" width="12.6328125" style="20" bestFit="1" customWidth="1"/>
    <col min="15631" max="15632" width="17" style="20" bestFit="1" customWidth="1"/>
    <col min="15633" max="15633" width="12.6328125" style="20" bestFit="1" customWidth="1"/>
    <col min="15634" max="15634" width="17" style="20" bestFit="1" customWidth="1"/>
    <col min="15635" max="15635" width="17.08984375" style="20" bestFit="1" customWidth="1"/>
    <col min="15636" max="15636" width="12.81640625" style="20" bestFit="1" customWidth="1"/>
    <col min="15637" max="15640" width="9.6328125" style="20" bestFit="1" customWidth="1"/>
    <col min="15641" max="15641" width="11.54296875" style="20"/>
    <col min="15642" max="15642" width="13.6328125" style="20" bestFit="1" customWidth="1"/>
    <col min="15643" max="15643" width="4.36328125" style="20" bestFit="1" customWidth="1"/>
    <col min="15644" max="15645" width="11.453125" style="20" customWidth="1"/>
    <col min="15646" max="15650" width="9.6328125" style="20" bestFit="1" customWidth="1"/>
    <col min="15651" max="15651" width="8.6328125" style="20" bestFit="1" customWidth="1"/>
    <col min="15652" max="15872" width="11.54296875" style="20"/>
    <col min="15873" max="15873" width="30.6328125" style="20" bestFit="1" customWidth="1"/>
    <col min="15874" max="15879" width="9.90625" style="20" bestFit="1" customWidth="1"/>
    <col min="15880" max="15883" width="9.6328125" style="20" bestFit="1" customWidth="1"/>
    <col min="15884" max="15884" width="8.81640625" style="20" bestFit="1" customWidth="1"/>
    <col min="15885" max="15885" width="9.6328125" style="20" bestFit="1" customWidth="1"/>
    <col min="15886" max="15886" width="12.6328125" style="20" bestFit="1" customWidth="1"/>
    <col min="15887" max="15888" width="17" style="20" bestFit="1" customWidth="1"/>
    <col min="15889" max="15889" width="12.6328125" style="20" bestFit="1" customWidth="1"/>
    <col min="15890" max="15890" width="17" style="20" bestFit="1" customWidth="1"/>
    <col min="15891" max="15891" width="17.08984375" style="20" bestFit="1" customWidth="1"/>
    <col min="15892" max="15892" width="12.81640625" style="20" bestFit="1" customWidth="1"/>
    <col min="15893" max="15896" width="9.6328125" style="20" bestFit="1" customWidth="1"/>
    <col min="15897" max="15897" width="11.54296875" style="20"/>
    <col min="15898" max="15898" width="13.6328125" style="20" bestFit="1" customWidth="1"/>
    <col min="15899" max="15899" width="4.36328125" style="20" bestFit="1" customWidth="1"/>
    <col min="15900" max="15901" width="11.453125" style="20" customWidth="1"/>
    <col min="15902" max="15906" width="9.6328125" style="20" bestFit="1" customWidth="1"/>
    <col min="15907" max="15907" width="8.6328125" style="20" bestFit="1" customWidth="1"/>
    <col min="15908" max="16128" width="11.54296875" style="20"/>
    <col min="16129" max="16129" width="30.6328125" style="20" bestFit="1" customWidth="1"/>
    <col min="16130" max="16135" width="9.90625" style="20" bestFit="1" customWidth="1"/>
    <col min="16136" max="16139" width="9.6328125" style="20" bestFit="1" customWidth="1"/>
    <col min="16140" max="16140" width="8.81640625" style="20" bestFit="1" customWidth="1"/>
    <col min="16141" max="16141" width="9.6328125" style="20" bestFit="1" customWidth="1"/>
    <col min="16142" max="16142" width="12.6328125" style="20" bestFit="1" customWidth="1"/>
    <col min="16143" max="16144" width="17" style="20" bestFit="1" customWidth="1"/>
    <col min="16145" max="16145" width="12.6328125" style="20" bestFit="1" customWidth="1"/>
    <col min="16146" max="16146" width="17" style="20" bestFit="1" customWidth="1"/>
    <col min="16147" max="16147" width="17.08984375" style="20" bestFit="1" customWidth="1"/>
    <col min="16148" max="16148" width="12.81640625" style="20" bestFit="1" customWidth="1"/>
    <col min="16149" max="16152" width="9.6328125" style="20" bestFit="1" customWidth="1"/>
    <col min="16153" max="16153" width="11.54296875" style="20"/>
    <col min="16154" max="16154" width="13.6328125" style="20" bestFit="1" customWidth="1"/>
    <col min="16155" max="16155" width="4.36328125" style="20" bestFit="1" customWidth="1"/>
    <col min="16156" max="16157" width="11.453125" style="20" customWidth="1"/>
    <col min="16158" max="16162" width="9.6328125" style="20" bestFit="1" customWidth="1"/>
    <col min="16163" max="16163" width="8.6328125" style="20" bestFit="1" customWidth="1"/>
    <col min="16164" max="16384" width="11.54296875" style="20"/>
  </cols>
  <sheetData>
    <row r="1" spans="1:35" ht="14.4" customHeight="1" x14ac:dyDescent="0.25">
      <c r="A1" s="18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O1" s="18"/>
      <c r="P1" s="18"/>
      <c r="Q1" s="18"/>
      <c r="R1" s="19"/>
      <c r="S1" s="19"/>
      <c r="T1" s="19"/>
      <c r="U1" s="19"/>
      <c r="V1" s="19"/>
      <c r="W1" s="19"/>
      <c r="X1" s="19"/>
    </row>
    <row r="2" spans="1:35" ht="14.4" customHeight="1" x14ac:dyDescent="0.25">
      <c r="A2" s="21" t="s">
        <v>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5" ht="14.4" customHeight="1" x14ac:dyDescent="0.25">
      <c r="A3" s="21" t="s">
        <v>55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35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O4" s="18"/>
      <c r="P4" s="18"/>
      <c r="Q4" s="18"/>
      <c r="R4" s="19"/>
      <c r="S4" s="19"/>
      <c r="T4" s="19"/>
      <c r="U4" s="19"/>
      <c r="V4" s="19"/>
      <c r="W4" s="19"/>
      <c r="X4" s="19"/>
    </row>
    <row r="5" spans="1:35" ht="15.15" customHeight="1" x14ac:dyDescent="0.25">
      <c r="A5" s="22" t="s">
        <v>56</v>
      </c>
      <c r="B5" s="83" t="s">
        <v>57</v>
      </c>
      <c r="C5" s="84"/>
      <c r="D5" s="83" t="s">
        <v>58</v>
      </c>
      <c r="E5" s="84"/>
      <c r="F5" s="83" t="s">
        <v>59</v>
      </c>
      <c r="G5" s="84"/>
      <c r="H5" s="83" t="s">
        <v>60</v>
      </c>
      <c r="I5" s="84"/>
      <c r="J5" s="83" t="s">
        <v>61</v>
      </c>
      <c r="K5" s="84"/>
      <c r="L5" s="88">
        <v>2025</v>
      </c>
      <c r="M5" s="89"/>
      <c r="O5" s="22" t="s">
        <v>62</v>
      </c>
      <c r="P5" s="22" t="s">
        <v>63</v>
      </c>
      <c r="Q5" s="85" t="s">
        <v>64</v>
      </c>
      <c r="R5" s="86"/>
      <c r="S5" s="24" t="s">
        <v>57</v>
      </c>
      <c r="T5" s="24" t="s">
        <v>58</v>
      </c>
      <c r="U5" s="24" t="s">
        <v>59</v>
      </c>
      <c r="V5" s="24" t="s">
        <v>60</v>
      </c>
      <c r="W5" s="24" t="s">
        <v>61</v>
      </c>
      <c r="X5" s="24" t="s">
        <v>65</v>
      </c>
      <c r="Z5" s="22" t="s">
        <v>62</v>
      </c>
      <c r="AA5" s="22" t="s">
        <v>63</v>
      </c>
      <c r="AB5" s="85" t="s">
        <v>64</v>
      </c>
      <c r="AC5" s="86"/>
      <c r="AD5" s="24" t="s">
        <v>57</v>
      </c>
      <c r="AE5" s="24" t="s">
        <v>58</v>
      </c>
      <c r="AF5" s="24" t="s">
        <v>59</v>
      </c>
      <c r="AG5" s="24" t="s">
        <v>60</v>
      </c>
      <c r="AH5" s="24" t="s">
        <v>61</v>
      </c>
      <c r="AI5" s="24" t="s">
        <v>65</v>
      </c>
    </row>
    <row r="6" spans="1:35" ht="15.15" customHeight="1" x14ac:dyDescent="0.25">
      <c r="A6" s="22" t="s">
        <v>62</v>
      </c>
      <c r="B6" s="25" t="s">
        <v>66</v>
      </c>
      <c r="C6" s="24" t="s">
        <v>67</v>
      </c>
      <c r="D6" s="25" t="s">
        <v>66</v>
      </c>
      <c r="E6" s="24" t="s">
        <v>67</v>
      </c>
      <c r="F6" s="25" t="s">
        <v>66</v>
      </c>
      <c r="G6" s="24" t="s">
        <v>67</v>
      </c>
      <c r="H6" s="25" t="s">
        <v>66</v>
      </c>
      <c r="I6" s="24" t="s">
        <v>67</v>
      </c>
      <c r="J6" s="25" t="s">
        <v>66</v>
      </c>
      <c r="K6" s="24" t="s">
        <v>67</v>
      </c>
      <c r="L6" s="25" t="s">
        <v>66</v>
      </c>
      <c r="M6" s="24" t="s">
        <v>67</v>
      </c>
      <c r="O6" s="85" t="s">
        <v>68</v>
      </c>
      <c r="P6" s="87"/>
      <c r="Q6" s="87"/>
      <c r="R6" s="86"/>
      <c r="S6" s="26">
        <v>7.3555600000000005</v>
      </c>
      <c r="T6" s="26">
        <v>21.943770000000001</v>
      </c>
      <c r="U6" s="26">
        <v>5019.111219999998</v>
      </c>
      <c r="V6" s="26">
        <v>3564.3041100000009</v>
      </c>
      <c r="W6" s="26">
        <v>1396.3809000000001</v>
      </c>
      <c r="X6" s="26">
        <v>4161.8</v>
      </c>
      <c r="Z6" s="85" t="s">
        <v>68</v>
      </c>
      <c r="AA6" s="87"/>
      <c r="AB6" s="87"/>
      <c r="AC6" s="86"/>
      <c r="AD6" s="26">
        <v>13.266000000000002</v>
      </c>
      <c r="AE6" s="26">
        <v>37.215699999999998</v>
      </c>
      <c r="AF6" s="26">
        <v>293.82343099999997</v>
      </c>
      <c r="AG6" s="26">
        <v>1148.2787209999999</v>
      </c>
      <c r="AH6" s="26">
        <v>621.48469999999998</v>
      </c>
      <c r="AI6" s="26">
        <v>8263.9</v>
      </c>
    </row>
    <row r="7" spans="1:35" ht="15.15" customHeight="1" x14ac:dyDescent="0.25">
      <c r="A7" s="23" t="s">
        <v>68</v>
      </c>
      <c r="B7" s="27">
        <f>AD6</f>
        <v>13.266000000000002</v>
      </c>
      <c r="C7" s="27">
        <f>S6</f>
        <v>7.3555600000000005</v>
      </c>
      <c r="D7" s="27">
        <f>AE6</f>
        <v>37.215699999999998</v>
      </c>
      <c r="E7" s="27">
        <f>T6</f>
        <v>21.943770000000001</v>
      </c>
      <c r="F7" s="27">
        <f>AF6</f>
        <v>293.82343099999997</v>
      </c>
      <c r="G7" s="27">
        <f>U6</f>
        <v>5019.111219999998</v>
      </c>
      <c r="H7" s="27">
        <f>AG6</f>
        <v>1148.2787209999999</v>
      </c>
      <c r="I7" s="27">
        <f>V6</f>
        <v>3564.3041100000009</v>
      </c>
      <c r="J7" s="27">
        <f>AH6</f>
        <v>621.48469999999998</v>
      </c>
      <c r="K7" s="27">
        <f>W6</f>
        <v>1396.3809000000001</v>
      </c>
      <c r="L7" s="27">
        <f>AI6</f>
        <v>8263.9</v>
      </c>
      <c r="M7" s="27">
        <f>X6</f>
        <v>4161.8</v>
      </c>
      <c r="O7" s="85" t="s">
        <v>69</v>
      </c>
      <c r="P7" s="87"/>
      <c r="Q7" s="87"/>
      <c r="R7" s="86"/>
      <c r="S7" s="26">
        <v>61363.241830000006</v>
      </c>
      <c r="T7" s="26">
        <v>64339.720119999991</v>
      </c>
      <c r="U7" s="26">
        <v>132807.95368000001</v>
      </c>
      <c r="V7" s="26">
        <v>124677.03829</v>
      </c>
      <c r="W7" s="26">
        <v>127160.18375000003</v>
      </c>
      <c r="X7" s="26">
        <v>147751.29999999999</v>
      </c>
      <c r="Z7" s="85" t="s">
        <v>69</v>
      </c>
      <c r="AA7" s="87"/>
      <c r="AB7" s="87"/>
      <c r="AC7" s="86"/>
      <c r="AD7" s="26">
        <v>85233.000473000007</v>
      </c>
      <c r="AE7" s="26">
        <v>86127.369244999994</v>
      </c>
      <c r="AF7" s="26">
        <v>85269.140361000012</v>
      </c>
      <c r="AG7" s="26">
        <v>97809.910981999987</v>
      </c>
      <c r="AH7" s="26">
        <v>111303.705693</v>
      </c>
      <c r="AI7" s="26">
        <v>88881.4</v>
      </c>
    </row>
    <row r="8" spans="1:35" ht="15.15" customHeight="1" x14ac:dyDescent="0.25">
      <c r="A8" s="23" t="s">
        <v>69</v>
      </c>
      <c r="B8" s="27">
        <f t="shared" ref="B8:B15" si="0">AD7</f>
        <v>85233.000473000007</v>
      </c>
      <c r="C8" s="27">
        <f t="shared" ref="C8:C15" si="1">S7</f>
        <v>61363.241830000006</v>
      </c>
      <c r="D8" s="27">
        <f t="shared" ref="D8:D15" si="2">AE7</f>
        <v>86127.369244999994</v>
      </c>
      <c r="E8" s="27">
        <f t="shared" ref="E8:E15" si="3">T7</f>
        <v>64339.720119999991</v>
      </c>
      <c r="F8" s="27">
        <f t="shared" ref="F8:F15" si="4">AF7</f>
        <v>85269.140361000012</v>
      </c>
      <c r="G8" s="27">
        <f t="shared" ref="G8:G15" si="5">U7</f>
        <v>132807.95368000001</v>
      </c>
      <c r="H8" s="27">
        <f t="shared" ref="H8:H15" si="6">AG7</f>
        <v>97809.910981999987</v>
      </c>
      <c r="I8" s="27">
        <f t="shared" ref="I8:I15" si="7">V7</f>
        <v>124677.03829</v>
      </c>
      <c r="J8" s="27">
        <f t="shared" ref="J8:J15" si="8">AH7</f>
        <v>111303.705693</v>
      </c>
      <c r="K8" s="27">
        <f t="shared" ref="K8:K15" si="9">W7</f>
        <v>127160.18375000003</v>
      </c>
      <c r="L8" s="27">
        <f t="shared" ref="L8:L15" si="10">AI7</f>
        <v>88881.4</v>
      </c>
      <c r="M8" s="27">
        <f t="shared" ref="M8:M15" si="11">X7</f>
        <v>147751.29999999999</v>
      </c>
      <c r="O8" s="85" t="s">
        <v>70</v>
      </c>
      <c r="P8" s="87"/>
      <c r="Q8" s="87"/>
      <c r="R8" s="86"/>
      <c r="S8" s="26">
        <v>99.633200000000002</v>
      </c>
      <c r="T8" s="26">
        <v>128.64837</v>
      </c>
      <c r="U8" s="26">
        <v>555.73685</v>
      </c>
      <c r="V8" s="26">
        <v>399.78062</v>
      </c>
      <c r="W8" s="26">
        <v>384.43338</v>
      </c>
      <c r="X8" s="26">
        <v>373.1</v>
      </c>
      <c r="Z8" s="85" t="s">
        <v>70</v>
      </c>
      <c r="AA8" s="87"/>
      <c r="AB8" s="87"/>
      <c r="AC8" s="86"/>
      <c r="AD8" s="26">
        <v>148.91437000000002</v>
      </c>
      <c r="AE8" s="26">
        <v>169.48922999999999</v>
      </c>
      <c r="AF8" s="26">
        <v>132.83582000000001</v>
      </c>
      <c r="AG8" s="26">
        <v>88.567376000000024</v>
      </c>
      <c r="AH8" s="26">
        <v>137.73067499999999</v>
      </c>
      <c r="AI8" s="26">
        <v>266.89999999999998</v>
      </c>
    </row>
    <row r="9" spans="1:35" ht="15.15" customHeight="1" x14ac:dyDescent="0.25">
      <c r="A9" s="23" t="s">
        <v>70</v>
      </c>
      <c r="B9" s="27">
        <f t="shared" si="0"/>
        <v>148.91437000000002</v>
      </c>
      <c r="C9" s="27">
        <f t="shared" si="1"/>
        <v>99.633200000000002</v>
      </c>
      <c r="D9" s="27">
        <f t="shared" si="2"/>
        <v>169.48922999999999</v>
      </c>
      <c r="E9" s="27">
        <f t="shared" si="3"/>
        <v>128.64837</v>
      </c>
      <c r="F9" s="27">
        <f t="shared" si="4"/>
        <v>132.83582000000001</v>
      </c>
      <c r="G9" s="27">
        <f t="shared" si="5"/>
        <v>555.73685</v>
      </c>
      <c r="H9" s="27">
        <f t="shared" si="6"/>
        <v>88.567376000000024</v>
      </c>
      <c r="I9" s="27">
        <f t="shared" si="7"/>
        <v>399.78062</v>
      </c>
      <c r="J9" s="27">
        <f t="shared" si="8"/>
        <v>137.73067499999999</v>
      </c>
      <c r="K9" s="27">
        <f t="shared" si="9"/>
        <v>384.43338</v>
      </c>
      <c r="L9" s="27">
        <f t="shared" si="10"/>
        <v>266.89999999999998</v>
      </c>
      <c r="M9" s="27">
        <f t="shared" si="11"/>
        <v>373.1</v>
      </c>
      <c r="O9" s="85" t="s">
        <v>71</v>
      </c>
      <c r="P9" s="87"/>
      <c r="Q9" s="87"/>
      <c r="R9" s="86"/>
      <c r="S9" s="26"/>
      <c r="T9" s="26"/>
      <c r="U9" s="26">
        <v>32.831710000000001</v>
      </c>
      <c r="V9" s="26">
        <v>217.82803999999999</v>
      </c>
      <c r="W9" s="26">
        <v>209.56723</v>
      </c>
      <c r="X9" s="26">
        <v>119.2</v>
      </c>
      <c r="Z9" s="85" t="s">
        <v>71</v>
      </c>
      <c r="AA9" s="87"/>
      <c r="AB9" s="87"/>
      <c r="AC9" s="86"/>
      <c r="AD9" s="26"/>
      <c r="AE9" s="26"/>
      <c r="AF9" s="26">
        <v>0.54672500000000002</v>
      </c>
      <c r="AG9" s="26">
        <v>65.442960999999997</v>
      </c>
      <c r="AH9" s="26">
        <v>24.348861000000003</v>
      </c>
      <c r="AI9" s="26">
        <v>0.9</v>
      </c>
    </row>
    <row r="10" spans="1:35" ht="15.15" customHeight="1" x14ac:dyDescent="0.25">
      <c r="A10" s="23" t="s">
        <v>71</v>
      </c>
      <c r="B10" s="27">
        <f t="shared" si="0"/>
        <v>0</v>
      </c>
      <c r="C10" s="27">
        <f t="shared" si="1"/>
        <v>0</v>
      </c>
      <c r="D10" s="27">
        <f t="shared" si="2"/>
        <v>0</v>
      </c>
      <c r="E10" s="27">
        <f t="shared" si="3"/>
        <v>0</v>
      </c>
      <c r="F10" s="27">
        <f t="shared" si="4"/>
        <v>0.54672500000000002</v>
      </c>
      <c r="G10" s="27">
        <f t="shared" si="5"/>
        <v>32.831710000000001</v>
      </c>
      <c r="H10" s="27">
        <f t="shared" si="6"/>
        <v>65.442960999999997</v>
      </c>
      <c r="I10" s="27">
        <f t="shared" si="7"/>
        <v>217.82803999999999</v>
      </c>
      <c r="J10" s="27">
        <f t="shared" si="8"/>
        <v>24.348861000000003</v>
      </c>
      <c r="K10" s="27">
        <f t="shared" si="9"/>
        <v>209.56723</v>
      </c>
      <c r="L10" s="27">
        <f t="shared" si="10"/>
        <v>0.9</v>
      </c>
      <c r="M10" s="27">
        <f t="shared" si="11"/>
        <v>119.2</v>
      </c>
      <c r="O10" s="85" t="s">
        <v>72</v>
      </c>
      <c r="P10" s="87"/>
      <c r="Q10" s="87"/>
      <c r="R10" s="86"/>
      <c r="S10" s="26">
        <v>385.11171999999993</v>
      </c>
      <c r="T10" s="26">
        <v>345.27386999999993</v>
      </c>
      <c r="U10" s="26">
        <v>499.79677999999996</v>
      </c>
      <c r="V10" s="26">
        <v>509.06592999999998</v>
      </c>
      <c r="W10" s="26">
        <v>771.29093999999986</v>
      </c>
      <c r="X10" s="26">
        <v>475.1</v>
      </c>
      <c r="Z10" s="85" t="s">
        <v>72</v>
      </c>
      <c r="AA10" s="87"/>
      <c r="AB10" s="87"/>
      <c r="AC10" s="86"/>
      <c r="AD10" s="26">
        <v>444.85982000000001</v>
      </c>
      <c r="AE10" s="26">
        <v>399.06804</v>
      </c>
      <c r="AF10" s="26">
        <v>408.33472699999993</v>
      </c>
      <c r="AG10" s="26">
        <v>478.34061700000007</v>
      </c>
      <c r="AH10" s="26">
        <v>675.18324800000005</v>
      </c>
      <c r="AI10" s="26">
        <v>397.3</v>
      </c>
    </row>
    <row r="11" spans="1:35" ht="15.15" customHeight="1" x14ac:dyDescent="0.25">
      <c r="A11" s="23" t="s">
        <v>72</v>
      </c>
      <c r="B11" s="27">
        <f t="shared" si="0"/>
        <v>444.85982000000001</v>
      </c>
      <c r="C11" s="27">
        <f t="shared" si="1"/>
        <v>385.11171999999993</v>
      </c>
      <c r="D11" s="27">
        <f t="shared" si="2"/>
        <v>399.06804</v>
      </c>
      <c r="E11" s="27">
        <f t="shared" si="3"/>
        <v>345.27386999999993</v>
      </c>
      <c r="F11" s="27">
        <f t="shared" si="4"/>
        <v>408.33472699999993</v>
      </c>
      <c r="G11" s="27">
        <f t="shared" si="5"/>
        <v>499.79677999999996</v>
      </c>
      <c r="H11" s="27">
        <f t="shared" si="6"/>
        <v>478.34061700000007</v>
      </c>
      <c r="I11" s="27">
        <f t="shared" si="7"/>
        <v>509.06592999999998</v>
      </c>
      <c r="J11" s="27">
        <f t="shared" si="8"/>
        <v>675.18324800000005</v>
      </c>
      <c r="K11" s="27">
        <f t="shared" si="9"/>
        <v>771.29093999999986</v>
      </c>
      <c r="L11" s="27">
        <f t="shared" si="10"/>
        <v>397.3</v>
      </c>
      <c r="M11" s="27">
        <f t="shared" si="11"/>
        <v>475.1</v>
      </c>
      <c r="O11" s="85" t="s">
        <v>73</v>
      </c>
      <c r="P11" s="87"/>
      <c r="Q11" s="87"/>
      <c r="R11" s="86"/>
      <c r="S11" s="26">
        <v>6.27</v>
      </c>
      <c r="T11" s="26">
        <v>14.7</v>
      </c>
      <c r="U11" s="26">
        <v>7.75448</v>
      </c>
      <c r="V11" s="26">
        <v>109.3002</v>
      </c>
      <c r="W11" s="26">
        <v>5.04</v>
      </c>
      <c r="X11" s="26"/>
      <c r="Z11" s="85" t="s">
        <v>73</v>
      </c>
      <c r="AA11" s="87"/>
      <c r="AB11" s="87"/>
      <c r="AC11" s="86"/>
      <c r="AD11" s="26">
        <v>6.60426</v>
      </c>
      <c r="AE11" s="26">
        <v>61.076210000000003</v>
      </c>
      <c r="AF11" s="26">
        <v>4.2065399999999995</v>
      </c>
      <c r="AG11" s="26">
        <v>110.560585</v>
      </c>
      <c r="AH11" s="26">
        <v>5.46</v>
      </c>
      <c r="AI11" s="26"/>
    </row>
    <row r="12" spans="1:35" ht="15.15" customHeight="1" x14ac:dyDescent="0.25">
      <c r="A12" s="23" t="s">
        <v>73</v>
      </c>
      <c r="B12" s="27">
        <f t="shared" si="0"/>
        <v>6.60426</v>
      </c>
      <c r="C12" s="27">
        <f t="shared" si="1"/>
        <v>6.27</v>
      </c>
      <c r="D12" s="27">
        <f t="shared" si="2"/>
        <v>61.076210000000003</v>
      </c>
      <c r="E12" s="27">
        <f t="shared" si="3"/>
        <v>14.7</v>
      </c>
      <c r="F12" s="27">
        <f t="shared" si="4"/>
        <v>4.2065399999999995</v>
      </c>
      <c r="G12" s="27">
        <f t="shared" si="5"/>
        <v>7.75448</v>
      </c>
      <c r="H12" s="27">
        <f t="shared" si="6"/>
        <v>110.560585</v>
      </c>
      <c r="I12" s="27">
        <f t="shared" si="7"/>
        <v>109.3002</v>
      </c>
      <c r="J12" s="27">
        <f t="shared" si="8"/>
        <v>5.46</v>
      </c>
      <c r="K12" s="27">
        <f t="shared" si="9"/>
        <v>5.04</v>
      </c>
      <c r="L12" s="27">
        <f t="shared" si="10"/>
        <v>0</v>
      </c>
      <c r="M12" s="27">
        <f t="shared" si="11"/>
        <v>0</v>
      </c>
      <c r="O12" s="85" t="s">
        <v>74</v>
      </c>
      <c r="P12" s="87"/>
      <c r="Q12" s="87"/>
      <c r="R12" s="86"/>
      <c r="S12" s="26">
        <v>190.85789</v>
      </c>
      <c r="T12" s="26">
        <v>184.75718000000001</v>
      </c>
      <c r="U12" s="26">
        <v>163.52849999999998</v>
      </c>
      <c r="V12" s="26">
        <v>595.51516000000004</v>
      </c>
      <c r="W12" s="26">
        <v>6.9</v>
      </c>
      <c r="X12" s="26">
        <v>37</v>
      </c>
      <c r="Z12" s="85" t="s">
        <v>74</v>
      </c>
      <c r="AA12" s="87"/>
      <c r="AB12" s="87"/>
      <c r="AC12" s="86"/>
      <c r="AD12" s="26">
        <v>203.17400999999998</v>
      </c>
      <c r="AE12" s="26">
        <v>209.35054</v>
      </c>
      <c r="AF12" s="26">
        <v>132.82859999999999</v>
      </c>
      <c r="AG12" s="26">
        <v>126.614159</v>
      </c>
      <c r="AH12" s="26">
        <v>7.5149999999999997</v>
      </c>
      <c r="AI12" s="26">
        <v>15.3</v>
      </c>
    </row>
    <row r="13" spans="1:35" ht="15.15" customHeight="1" x14ac:dyDescent="0.25">
      <c r="A13" s="23" t="s">
        <v>74</v>
      </c>
      <c r="B13" s="27">
        <f>AD12</f>
        <v>203.17400999999998</v>
      </c>
      <c r="C13" s="27">
        <f t="shared" si="1"/>
        <v>190.85789</v>
      </c>
      <c r="D13" s="27">
        <f t="shared" si="2"/>
        <v>209.35054</v>
      </c>
      <c r="E13" s="27">
        <f t="shared" si="3"/>
        <v>184.75718000000001</v>
      </c>
      <c r="F13" s="27">
        <f t="shared" si="4"/>
        <v>132.82859999999999</v>
      </c>
      <c r="G13" s="27">
        <f t="shared" si="5"/>
        <v>163.52849999999998</v>
      </c>
      <c r="H13" s="27">
        <f t="shared" si="6"/>
        <v>126.614159</v>
      </c>
      <c r="I13" s="27">
        <f t="shared" si="7"/>
        <v>595.51516000000004</v>
      </c>
      <c r="J13" s="27">
        <f t="shared" si="8"/>
        <v>7.5149999999999997</v>
      </c>
      <c r="K13" s="27">
        <f t="shared" si="9"/>
        <v>6.9</v>
      </c>
      <c r="L13" s="27">
        <f t="shared" si="10"/>
        <v>15.3</v>
      </c>
      <c r="M13" s="27">
        <f t="shared" si="11"/>
        <v>37</v>
      </c>
      <c r="O13" s="85" t="s">
        <v>75</v>
      </c>
      <c r="P13" s="87"/>
      <c r="Q13" s="87"/>
      <c r="R13" s="86"/>
      <c r="S13" s="26">
        <v>4483.0076600000002</v>
      </c>
      <c r="T13" s="26">
        <v>5010.1193700000003</v>
      </c>
      <c r="U13" s="26">
        <v>3062.5679900000005</v>
      </c>
      <c r="V13" s="26">
        <v>6508.5134500000013</v>
      </c>
      <c r="W13" s="26">
        <v>3724.0537029999996</v>
      </c>
      <c r="X13" s="26">
        <v>4058.5</v>
      </c>
      <c r="Z13" s="85" t="s">
        <v>75</v>
      </c>
      <c r="AA13" s="87"/>
      <c r="AB13" s="87"/>
      <c r="AC13" s="86"/>
      <c r="AD13" s="26">
        <v>4925.1563829999996</v>
      </c>
      <c r="AE13" s="26">
        <v>5673.0767370000012</v>
      </c>
      <c r="AF13" s="26">
        <v>2956.5194969999998</v>
      </c>
      <c r="AG13" s="26">
        <v>3088.659482</v>
      </c>
      <c r="AH13" s="26">
        <v>3397.8166140000003</v>
      </c>
      <c r="AI13" s="26">
        <v>2750.6</v>
      </c>
    </row>
    <row r="14" spans="1:35" ht="15.15" customHeight="1" x14ac:dyDescent="0.25">
      <c r="A14" s="23" t="s">
        <v>75</v>
      </c>
      <c r="B14" s="27">
        <f t="shared" si="0"/>
        <v>4925.1563829999996</v>
      </c>
      <c r="C14" s="27">
        <f t="shared" si="1"/>
        <v>4483.0076600000002</v>
      </c>
      <c r="D14" s="27">
        <f t="shared" si="2"/>
        <v>5673.0767370000012</v>
      </c>
      <c r="E14" s="27">
        <f t="shared" si="3"/>
        <v>5010.1193700000003</v>
      </c>
      <c r="F14" s="27">
        <f t="shared" si="4"/>
        <v>2956.5194969999998</v>
      </c>
      <c r="G14" s="27">
        <f t="shared" si="5"/>
        <v>3062.5679900000005</v>
      </c>
      <c r="H14" s="27">
        <f t="shared" si="6"/>
        <v>3088.659482</v>
      </c>
      <c r="I14" s="27">
        <f t="shared" si="7"/>
        <v>6508.5134500000013</v>
      </c>
      <c r="J14" s="27">
        <f t="shared" si="8"/>
        <v>3397.8166140000003</v>
      </c>
      <c r="K14" s="27">
        <f t="shared" si="9"/>
        <v>3724.0537029999996</v>
      </c>
      <c r="L14" s="27">
        <f t="shared" si="10"/>
        <v>2750.6</v>
      </c>
      <c r="M14" s="27">
        <f t="shared" si="11"/>
        <v>4058.5</v>
      </c>
      <c r="O14" s="85" t="s">
        <v>76</v>
      </c>
      <c r="P14" s="87"/>
      <c r="Q14" s="87"/>
      <c r="R14" s="86"/>
      <c r="S14" s="26">
        <v>25276.925219999997</v>
      </c>
      <c r="T14" s="26">
        <v>27569.641330000002</v>
      </c>
      <c r="U14" s="26">
        <v>29049.98922000001</v>
      </c>
      <c r="V14" s="26">
        <v>39118.407799999994</v>
      </c>
      <c r="W14" s="26">
        <v>39368.989510000007</v>
      </c>
      <c r="X14" s="26">
        <v>54689.599999999999</v>
      </c>
      <c r="Z14" s="85" t="s">
        <v>76</v>
      </c>
      <c r="AA14" s="87"/>
      <c r="AB14" s="87"/>
      <c r="AC14" s="86"/>
      <c r="AD14" s="26">
        <v>32495.137294</v>
      </c>
      <c r="AE14" s="26">
        <v>33252.590171999989</v>
      </c>
      <c r="AF14" s="26">
        <v>26515.966318999996</v>
      </c>
      <c r="AG14" s="26">
        <v>34296.480399999993</v>
      </c>
      <c r="AH14" s="26">
        <v>40587.568292000004</v>
      </c>
      <c r="AI14" s="26">
        <v>36381.9</v>
      </c>
    </row>
    <row r="15" spans="1:35" x14ac:dyDescent="0.25">
      <c r="A15" s="23" t="s">
        <v>76</v>
      </c>
      <c r="B15" s="27">
        <f t="shared" si="0"/>
        <v>32495.137294</v>
      </c>
      <c r="C15" s="27">
        <f t="shared" si="1"/>
        <v>25276.925219999997</v>
      </c>
      <c r="D15" s="27">
        <f t="shared" si="2"/>
        <v>33252.590171999989</v>
      </c>
      <c r="E15" s="27">
        <f t="shared" si="3"/>
        <v>27569.641330000002</v>
      </c>
      <c r="F15" s="27">
        <f t="shared" si="4"/>
        <v>26515.966318999996</v>
      </c>
      <c r="G15" s="27">
        <f t="shared" si="5"/>
        <v>29049.98922000001</v>
      </c>
      <c r="H15" s="27">
        <f t="shared" si="6"/>
        <v>34296.480399999993</v>
      </c>
      <c r="I15" s="27">
        <f t="shared" si="7"/>
        <v>39118.407799999994</v>
      </c>
      <c r="J15" s="27">
        <f t="shared" si="8"/>
        <v>40587.568292000004</v>
      </c>
      <c r="K15" s="27">
        <f t="shared" si="9"/>
        <v>39368.989510000007</v>
      </c>
      <c r="L15" s="27">
        <f t="shared" si="10"/>
        <v>36381.9</v>
      </c>
      <c r="M15" s="27">
        <f t="shared" si="11"/>
        <v>54689.599999999999</v>
      </c>
      <c r="O15" s="85" t="s">
        <v>77</v>
      </c>
      <c r="P15" s="87"/>
      <c r="Q15" s="87"/>
      <c r="R15" s="86"/>
      <c r="S15" s="26">
        <v>91812.403080000004</v>
      </c>
      <c r="T15" s="26">
        <v>97614.804009999978</v>
      </c>
      <c r="U15" s="26">
        <v>171199.27043</v>
      </c>
      <c r="V15" s="26">
        <v>175699.7536</v>
      </c>
      <c r="W15" s="26">
        <v>173026.83941300004</v>
      </c>
      <c r="X15" s="26">
        <f>+SUM(X6:X14)</f>
        <v>211665.6</v>
      </c>
      <c r="Z15" s="85" t="s">
        <v>77</v>
      </c>
      <c r="AA15" s="87"/>
      <c r="AB15" s="87"/>
      <c r="AC15" s="86"/>
      <c r="AD15" s="26">
        <v>123470.11261</v>
      </c>
      <c r="AE15" s="26">
        <v>125929.23587399999</v>
      </c>
      <c r="AF15" s="26">
        <v>115714.20201999998</v>
      </c>
      <c r="AG15" s="26">
        <v>137212.85528299995</v>
      </c>
      <c r="AH15" s="26">
        <v>156760.81308300002</v>
      </c>
      <c r="AI15" s="26">
        <f>+SUM(AI6:AI14)</f>
        <v>136958.19999999998</v>
      </c>
    </row>
    <row r="16" spans="1:35" x14ac:dyDescent="0.25">
      <c r="A16" s="23" t="s">
        <v>78</v>
      </c>
      <c r="B16" s="27">
        <f>SUM(B7:B15)</f>
        <v>123470.11261</v>
      </c>
      <c r="C16" s="27">
        <f>SUM(C7:C15)</f>
        <v>91812.403079999989</v>
      </c>
      <c r="D16" s="27">
        <f t="shared" ref="D16:M16" si="12">SUM(D7:D15)</f>
        <v>125929.23587399998</v>
      </c>
      <c r="E16" s="27">
        <f t="shared" si="12"/>
        <v>97614.804009999978</v>
      </c>
      <c r="F16" s="27">
        <f t="shared" si="12"/>
        <v>115714.20201999998</v>
      </c>
      <c r="G16" s="27">
        <f t="shared" si="12"/>
        <v>171199.27043</v>
      </c>
      <c r="H16" s="27">
        <f t="shared" si="12"/>
        <v>137212.85528299998</v>
      </c>
      <c r="I16" s="27">
        <f t="shared" si="12"/>
        <v>175699.75359999997</v>
      </c>
      <c r="J16" s="27">
        <f t="shared" si="12"/>
        <v>156760.81308300002</v>
      </c>
      <c r="K16" s="27">
        <f t="shared" si="12"/>
        <v>173026.83941300004</v>
      </c>
      <c r="L16" s="27">
        <f t="shared" si="12"/>
        <v>136958.19999999998</v>
      </c>
      <c r="M16" s="27">
        <f t="shared" si="12"/>
        <v>211665.6</v>
      </c>
      <c r="O16" s="85"/>
      <c r="P16" s="87"/>
      <c r="Q16" s="87"/>
      <c r="R16" s="86"/>
      <c r="S16" s="28"/>
      <c r="T16" s="28"/>
      <c r="U16" s="28"/>
      <c r="V16" s="28"/>
      <c r="W16" s="28"/>
      <c r="X16" s="28"/>
      <c r="Z16" s="85"/>
      <c r="AA16" s="87"/>
      <c r="AB16" s="87"/>
      <c r="AC16" s="86"/>
      <c r="AD16" s="28"/>
      <c r="AE16" s="28"/>
      <c r="AF16" s="28"/>
      <c r="AG16" s="28"/>
      <c r="AH16" s="28"/>
      <c r="AI16" s="28"/>
    </row>
    <row r="17" spans="1:20" x14ac:dyDescent="0.25">
      <c r="A17" s="23" t="s">
        <v>79</v>
      </c>
      <c r="B17" s="29"/>
      <c r="C17" s="29">
        <f>(C16*1000)/B16</f>
        <v>743.60022145605444</v>
      </c>
      <c r="D17" s="29"/>
      <c r="E17" s="29">
        <f>(E16*1000)/D16</f>
        <v>775.15600990122459</v>
      </c>
      <c r="F17" s="29"/>
      <c r="G17" s="29">
        <f>(G16*1000)/F16</f>
        <v>1479.500938012864</v>
      </c>
      <c r="H17" s="29"/>
      <c r="I17" s="29">
        <f>(I16*1000)/H16</f>
        <v>1280.490470354408</v>
      </c>
      <c r="J17" s="29"/>
      <c r="K17" s="29">
        <f>(K16*1000)/J16</f>
        <v>1103.763344997373</v>
      </c>
      <c r="L17" s="29"/>
      <c r="M17" s="90">
        <f>(M16*1000)/L16</f>
        <v>1545.4759189300096</v>
      </c>
    </row>
    <row r="19" spans="1:20" x14ac:dyDescent="0.25">
      <c r="A19" s="20" t="s">
        <v>80</v>
      </c>
    </row>
    <row r="20" spans="1:20" x14ac:dyDescent="0.25">
      <c r="A20" s="20" t="s">
        <v>81</v>
      </c>
    </row>
    <row r="23" spans="1:20" x14ac:dyDescent="0.25">
      <c r="A23" s="30" t="s">
        <v>56</v>
      </c>
      <c r="B23" s="80">
        <v>2020</v>
      </c>
      <c r="C23" s="80">
        <v>2021</v>
      </c>
      <c r="D23" s="80">
        <v>2022</v>
      </c>
      <c r="E23" s="80">
        <v>2023</v>
      </c>
      <c r="F23" s="80">
        <v>2024</v>
      </c>
      <c r="G23" s="80">
        <v>2025</v>
      </c>
      <c r="H23" s="31" t="s">
        <v>82</v>
      </c>
    </row>
    <row r="24" spans="1:20" x14ac:dyDescent="0.25">
      <c r="A24" s="32" t="s">
        <v>83</v>
      </c>
      <c r="B24" s="33">
        <f>C16</f>
        <v>91812.403079999989</v>
      </c>
      <c r="C24" s="33">
        <f>E16</f>
        <v>97614.804009999978</v>
      </c>
      <c r="D24" s="33">
        <f>G16</f>
        <v>171199.27043</v>
      </c>
      <c r="E24" s="33">
        <f>I16</f>
        <v>175699.75359999997</v>
      </c>
      <c r="F24" s="33">
        <f>K16</f>
        <v>173026.83941300004</v>
      </c>
      <c r="G24" s="33">
        <f>M16</f>
        <v>211665.6</v>
      </c>
      <c r="H24" s="34">
        <f>SUM(B24:G24)</f>
        <v>921018.67053299991</v>
      </c>
    </row>
    <row r="25" spans="1:20" x14ac:dyDescent="0.25">
      <c r="A25" s="20" t="s">
        <v>84</v>
      </c>
      <c r="B25" s="35">
        <f>B16</f>
        <v>123470.11261</v>
      </c>
      <c r="C25" s="35">
        <f>D16</f>
        <v>125929.23587399998</v>
      </c>
      <c r="D25" s="35">
        <f>F16</f>
        <v>115714.20201999998</v>
      </c>
      <c r="E25" s="35">
        <f>H16</f>
        <v>137212.85528299998</v>
      </c>
      <c r="F25" s="35">
        <f>J16</f>
        <v>156760.81308300002</v>
      </c>
      <c r="G25" s="35">
        <f>L16</f>
        <v>136958.19999999998</v>
      </c>
      <c r="H25" s="34">
        <f>SUM(B25:G25)</f>
        <v>796045.41886999994</v>
      </c>
    </row>
    <row r="26" spans="1:20" x14ac:dyDescent="0.25">
      <c r="A26" s="36" t="s">
        <v>79</v>
      </c>
      <c r="B26" s="37">
        <f t="shared" ref="B26:F26" si="13">(B24*1000)/B25</f>
        <v>743.60022145605444</v>
      </c>
      <c r="C26" s="37">
        <f t="shared" si="13"/>
        <v>775.15600990122459</v>
      </c>
      <c r="D26" s="37">
        <f t="shared" si="13"/>
        <v>1479.500938012864</v>
      </c>
      <c r="E26" s="37">
        <f t="shared" si="13"/>
        <v>1280.490470354408</v>
      </c>
      <c r="F26" s="37">
        <f t="shared" si="13"/>
        <v>1103.763344997373</v>
      </c>
      <c r="G26" s="37">
        <f>(G24*1000)/G25</f>
        <v>1545.4759189300096</v>
      </c>
      <c r="H26" s="37">
        <f>(H24*1000)/H25</f>
        <v>1156.9926146178966</v>
      </c>
    </row>
    <row r="27" spans="1:20" ht="12" thickBot="1" x14ac:dyDescent="0.3">
      <c r="A27" s="38" t="s">
        <v>85</v>
      </c>
      <c r="B27" s="38">
        <f>B26/1000</f>
        <v>0.74360022145605442</v>
      </c>
      <c r="C27" s="38">
        <f t="shared" ref="C27:G27" si="14">C26/1000</f>
        <v>0.77515600990122457</v>
      </c>
      <c r="D27" s="38">
        <f t="shared" si="14"/>
        <v>1.4795009380128641</v>
      </c>
      <c r="E27" s="38">
        <f t="shared" si="14"/>
        <v>1.280490470354408</v>
      </c>
      <c r="F27" s="38">
        <f t="shared" si="14"/>
        <v>1.1037633449973729</v>
      </c>
      <c r="G27" s="38">
        <f t="shared" si="14"/>
        <v>1.5454759189300096</v>
      </c>
      <c r="H27" s="39">
        <f>H26/1000</f>
        <v>1.1569926146178966</v>
      </c>
    </row>
    <row r="28" spans="1:20" ht="12.5" thickTop="1" thickBot="1" x14ac:dyDescent="0.3">
      <c r="A28" s="40" t="s">
        <v>86</v>
      </c>
      <c r="B28" s="40"/>
      <c r="C28" s="40"/>
      <c r="D28" s="40"/>
      <c r="E28" s="40"/>
      <c r="F28" s="40"/>
      <c r="G28" s="40"/>
      <c r="H28" s="40">
        <f>STDEV(B27:G27)</f>
        <v>0.34341692275574054</v>
      </c>
    </row>
    <row r="29" spans="1:20" ht="12" thickTop="1" x14ac:dyDescent="0.25"/>
    <row r="31" spans="1:20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spans="1:2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x14ac:dyDescent="0.25">
      <c r="A34" s="41"/>
      <c r="B34" s="41"/>
      <c r="C34" s="41"/>
      <c r="D34" s="41"/>
      <c r="E34" s="41"/>
      <c r="F34" s="41"/>
      <c r="G34" s="41"/>
      <c r="H34" s="41"/>
    </row>
    <row r="35" spans="1:20" x14ac:dyDescent="0.25">
      <c r="A35" s="41"/>
      <c r="B35" s="41"/>
      <c r="C35" s="41"/>
      <c r="D35" s="41"/>
      <c r="E35" s="41"/>
      <c r="F35" s="41"/>
      <c r="G35" s="41"/>
      <c r="H35" s="41"/>
    </row>
    <row r="36" spans="1:20" x14ac:dyDescent="0.25">
      <c r="A36" s="41"/>
      <c r="B36" s="41"/>
      <c r="C36" s="41"/>
      <c r="D36" s="41"/>
      <c r="E36" s="41"/>
      <c r="F36" s="41"/>
      <c r="G36" s="41"/>
      <c r="H36" s="41"/>
    </row>
    <row r="37" spans="1:20" x14ac:dyDescent="0.25">
      <c r="A37" s="41"/>
      <c r="B37" s="41"/>
      <c r="C37" s="41"/>
      <c r="D37" s="41"/>
      <c r="E37" s="41"/>
      <c r="F37" s="41"/>
      <c r="G37" s="41"/>
      <c r="H37" s="41"/>
    </row>
    <row r="38" spans="1:20" x14ac:dyDescent="0.25">
      <c r="A38" s="41"/>
      <c r="B38" s="41"/>
      <c r="C38" s="41"/>
      <c r="D38" s="41"/>
      <c r="E38" s="41"/>
      <c r="F38" s="41"/>
      <c r="G38" s="41"/>
      <c r="H38" s="41"/>
    </row>
    <row r="39" spans="1:20" x14ac:dyDescent="0.25">
      <c r="A39" s="41"/>
      <c r="B39" s="41"/>
      <c r="C39" s="41"/>
      <c r="D39" s="41"/>
      <c r="E39" s="41"/>
      <c r="F39" s="41"/>
      <c r="G39" s="41"/>
      <c r="H39" s="41"/>
    </row>
    <row r="40" spans="1:20" x14ac:dyDescent="0.25">
      <c r="A40" s="41"/>
      <c r="B40" s="41"/>
      <c r="C40" s="41"/>
      <c r="D40" s="41"/>
      <c r="E40" s="41"/>
      <c r="F40" s="41"/>
      <c r="G40" s="41"/>
      <c r="H40" s="41"/>
    </row>
    <row r="41" spans="1:20" x14ac:dyDescent="0.25">
      <c r="A41" s="41"/>
      <c r="B41" s="41"/>
      <c r="C41" s="41"/>
      <c r="D41" s="41"/>
      <c r="E41" s="41"/>
      <c r="F41" s="41"/>
      <c r="G41" s="41"/>
      <c r="H41" s="41"/>
    </row>
    <row r="42" spans="1:20" x14ac:dyDescent="0.25">
      <c r="A42" s="41"/>
      <c r="B42" s="41"/>
      <c r="C42" s="41"/>
      <c r="D42" s="41"/>
      <c r="E42" s="41"/>
      <c r="F42" s="41"/>
      <c r="G42" s="41"/>
      <c r="H42" s="41"/>
    </row>
    <row r="43" spans="1:20" x14ac:dyDescent="0.25">
      <c r="A43" s="41"/>
      <c r="B43" s="41"/>
      <c r="C43" s="41"/>
      <c r="D43" s="41"/>
      <c r="E43" s="41"/>
      <c r="F43" s="41"/>
      <c r="G43" s="41"/>
      <c r="H43" s="41"/>
    </row>
    <row r="44" spans="1:20" x14ac:dyDescent="0.25">
      <c r="A44" s="41"/>
      <c r="B44" s="41"/>
      <c r="C44" s="41"/>
      <c r="D44" s="41"/>
      <c r="E44" s="41"/>
      <c r="F44" s="41"/>
      <c r="G44" s="41"/>
      <c r="H44" s="41"/>
    </row>
    <row r="45" spans="1:20" x14ac:dyDescent="0.25">
      <c r="A45" s="41"/>
      <c r="B45" s="41"/>
      <c r="C45" s="41"/>
      <c r="D45" s="41"/>
      <c r="E45" s="41"/>
      <c r="F45" s="41"/>
      <c r="G45" s="41"/>
      <c r="H45" s="41"/>
    </row>
    <row r="46" spans="1:20" x14ac:dyDescent="0.25">
      <c r="A46" s="41"/>
      <c r="B46" s="41"/>
      <c r="C46" s="41"/>
      <c r="D46" s="41"/>
      <c r="E46" s="41"/>
      <c r="F46" s="41"/>
      <c r="G46" s="41"/>
      <c r="H46" s="41"/>
    </row>
  </sheetData>
  <mergeCells count="30">
    <mergeCell ref="O14:R14"/>
    <mergeCell ref="Z14:AC14"/>
    <mergeCell ref="O15:R15"/>
    <mergeCell ref="Z15:AC15"/>
    <mergeCell ref="O16:R16"/>
    <mergeCell ref="Z16:AC16"/>
    <mergeCell ref="O11:R11"/>
    <mergeCell ref="Z11:AC11"/>
    <mergeCell ref="O12:R12"/>
    <mergeCell ref="Z12:AC12"/>
    <mergeCell ref="O13:R13"/>
    <mergeCell ref="Z13:AC13"/>
    <mergeCell ref="O8:R8"/>
    <mergeCell ref="Z8:AC8"/>
    <mergeCell ref="O9:R9"/>
    <mergeCell ref="Z9:AC9"/>
    <mergeCell ref="O10:R10"/>
    <mergeCell ref="Z10:AC10"/>
    <mergeCell ref="Q5:R5"/>
    <mergeCell ref="AB5:AC5"/>
    <mergeCell ref="O6:R6"/>
    <mergeCell ref="Z6:AC6"/>
    <mergeCell ref="O7:R7"/>
    <mergeCell ref="Z7:AC7"/>
    <mergeCell ref="L5:M5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B24:H26" unlockedFormula="1"/>
    <ignoredError sqref="B6:M6 B5:K5 M5" numberStoredAsText="1"/>
    <ignoredError sqref="B8:M17 B7:K7 M7" numberStoredAsText="1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E3F5FE09D38040869073B03CD18066" ma:contentTypeVersion="16" ma:contentTypeDescription="Crear nuevo documento." ma:contentTypeScope="" ma:versionID="349eb2e1d88247cc8fd6a1f6c1a6d6d2">
  <xsd:schema xmlns:xsd="http://www.w3.org/2001/XMLSchema" xmlns:xs="http://www.w3.org/2001/XMLSchema" xmlns:p="http://schemas.microsoft.com/office/2006/metadata/properties" xmlns:ns2="35214bdb-6746-40fb-a103-537c351c7e70" xmlns:ns3="7830487a-692c-42fb-8bdf-1d795597fc17" targetNamespace="http://schemas.microsoft.com/office/2006/metadata/properties" ma:root="true" ma:fieldsID="0f1a18172416e71e521721bb88a7e37d" ns2:_="" ns3:_="">
    <xsd:import namespace="35214bdb-6746-40fb-a103-537c351c7e70"/>
    <xsd:import namespace="7830487a-692c-42fb-8bdf-1d795597f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14bdb-6746-40fb-a103-537c351c7e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0487a-692c-42fb-8bdf-1d795597fc1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54f0f4e-15ee-45c2-be65-04448baf47cb}" ma:internalName="TaxCatchAll" ma:showField="CatchAllData" ma:web="7830487a-692c-42fb-8bdf-1d795597f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214bdb-6746-40fb-a103-537c351c7e70">
      <Terms xmlns="http://schemas.microsoft.com/office/infopath/2007/PartnerControls"/>
    </lcf76f155ced4ddcb4097134ff3c332f>
    <TaxCatchAll xmlns="7830487a-692c-42fb-8bdf-1d795597fc17" xsi:nil="true"/>
  </documentManagement>
</p:properties>
</file>

<file path=customXml/itemProps1.xml><?xml version="1.0" encoding="utf-8"?>
<ds:datastoreItem xmlns:ds="http://schemas.openxmlformats.org/officeDocument/2006/customXml" ds:itemID="{9CA3820B-5A9F-432B-85DA-3DBA43935AE3}"/>
</file>

<file path=customXml/itemProps2.xml><?xml version="1.0" encoding="utf-8"?>
<ds:datastoreItem xmlns:ds="http://schemas.openxmlformats.org/officeDocument/2006/customXml" ds:itemID="{3AE8392E-4B19-4E4D-A9A7-AA980ACCC782}"/>
</file>

<file path=customXml/itemProps3.xml><?xml version="1.0" encoding="utf-8"?>
<ds:datastoreItem xmlns:ds="http://schemas.openxmlformats.org/officeDocument/2006/customXml" ds:itemID="{E6642E8D-DECC-4C96-A875-924C5DB55C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Supuestos</vt:lpstr>
      <vt:lpstr>Costos Detallados</vt:lpstr>
      <vt:lpstr>Inversión Equipo e Infraestruct</vt:lpstr>
      <vt:lpstr>Amortización Deuda</vt:lpstr>
      <vt:lpstr>Flujo Caja</vt:lpstr>
      <vt:lpstr>Estadisticas Procomer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yuca avio</dc:title>
  <dc:creator>ACA</dc:creator>
  <cp:lastModifiedBy>Rebeca Rojas Esquivel</cp:lastModifiedBy>
  <dcterms:created xsi:type="dcterms:W3CDTF">2025-12-03T02:40:21Z</dcterms:created>
  <dcterms:modified xsi:type="dcterms:W3CDTF">2026-02-17T19:16:33Z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0x010100DBE3F5FE09D38040869073B03CD18066</vt:lpwstr>
  </property>
</Properties>
</file>