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defaultThemeVersion="202300"/>
  <mc:AlternateContent xmlns:mc="http://schemas.openxmlformats.org/markup-compatibility/2006">
    <mc:Choice Requires="x15">
      <x15ac:absPath xmlns:x15ac="http://schemas.microsoft.com/office/spreadsheetml/2010/11/ac" url="https://procomercostarica.sharepoint.com/sites/DEN/Descubre/2. Cadenas Descubre/14. Plátano/4. Producto Crediticio/"/>
    </mc:Choice>
  </mc:AlternateContent>
  <xr:revisionPtr revIDLastSave="1042" documentId="8_{2618F986-80AB-488F-947E-B7E5E2614186}" xr6:coauthVersionLast="47" xr6:coauthVersionMax="47" xr10:uidLastSave="{E2784D5D-3741-42A4-A206-E8FCDF0F9E32}"/>
  <bookViews>
    <workbookView xWindow="-110" yWindow="-110" windowWidth="19420" windowHeight="10300" firstSheet="5" activeTab="8" xr2:uid="{A2AA687E-A869-42EB-BDBA-B1906F562DBC}"/>
  </bookViews>
  <sheets>
    <sheet name="Supuestos" sheetId="1" r:id="rId1"/>
    <sheet name="Costos Detallados" sheetId="9" r:id="rId2"/>
    <sheet name="Hoja1" sheetId="21" state="hidden" r:id="rId3"/>
    <sheet name="Producción e Ingresos" sheetId="12" r:id="rId4"/>
    <sheet name="Depreciaciones" sheetId="15" r:id="rId5"/>
    <sheet name="Amortización Deuda" sheetId="17" r:id="rId6"/>
    <sheet name="Estado de resultados" sheetId="19" r:id="rId7"/>
    <sheet name="Flujo Caja" sheetId="20" r:id="rId8"/>
    <sheet name="Estadisticas Procomer" sheetId="5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9" i="21" l="1"/>
  <c r="A60" i="21"/>
  <c r="A3" i="21"/>
  <c r="A4" i="21" s="1"/>
  <c r="A5" i="21" s="1"/>
  <c r="A6" i="21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2" i="21"/>
  <c r="B10" i="1"/>
  <c r="C17" i="12" l="1"/>
  <c r="D17" i="12" s="1"/>
  <c r="E17" i="12" s="1"/>
  <c r="F17" i="12" s="1"/>
  <c r="G17" i="12" s="1"/>
  <c r="H17" i="12" s="1"/>
  <c r="I17" i="12" s="1"/>
  <c r="J17" i="12" s="1"/>
  <c r="K17" i="12" s="1"/>
  <c r="C12" i="12"/>
  <c r="D12" i="12" s="1"/>
  <c r="E12" i="12" s="1"/>
  <c r="F12" i="12" s="1"/>
  <c r="G12" i="12" s="1"/>
  <c r="H12" i="12" s="1"/>
  <c r="I12" i="12" s="1"/>
  <c r="J12" i="12" s="1"/>
  <c r="K12" i="12" s="1"/>
  <c r="F43" i="9"/>
  <c r="G43" i="9" s="1"/>
  <c r="F44" i="9"/>
  <c r="G44" i="9" s="1"/>
  <c r="E41" i="9"/>
  <c r="F41" i="9" s="1"/>
  <c r="G41" i="9" s="1"/>
  <c r="E42" i="9"/>
  <c r="F42" i="9" s="1"/>
  <c r="G42" i="9" s="1"/>
  <c r="E43" i="9"/>
  <c r="E44" i="9"/>
  <c r="E45" i="9"/>
  <c r="F45" i="9" s="1"/>
  <c r="G45" i="9" s="1"/>
  <c r="E46" i="9"/>
  <c r="F46" i="9" s="1"/>
  <c r="G46" i="9" s="1"/>
  <c r="E47" i="9"/>
  <c r="F47" i="9" s="1"/>
  <c r="G47" i="9" s="1"/>
  <c r="E48" i="9"/>
  <c r="F48" i="9" s="1"/>
  <c r="G48" i="9" s="1"/>
  <c r="E49" i="9"/>
  <c r="F49" i="9" s="1"/>
  <c r="G49" i="9" s="1"/>
  <c r="E50" i="9"/>
  <c r="F50" i="9" s="1"/>
  <c r="G50" i="9" s="1"/>
  <c r="D45" i="9"/>
  <c r="D42" i="9"/>
  <c r="D41" i="9"/>
  <c r="D24" i="9"/>
  <c r="E24" i="9" s="1"/>
  <c r="F24" i="9" s="1"/>
  <c r="G24" i="9" s="1"/>
  <c r="D89" i="9"/>
  <c r="E89" i="9" s="1"/>
  <c r="F89" i="9" s="1"/>
  <c r="G89" i="9" s="1"/>
  <c r="D88" i="9"/>
  <c r="E88" i="9" s="1"/>
  <c r="C86" i="9"/>
  <c r="C85" i="9"/>
  <c r="C84" i="9"/>
  <c r="C83" i="9"/>
  <c r="C82" i="9"/>
  <c r="C79" i="9"/>
  <c r="D78" i="9"/>
  <c r="D79" i="9"/>
  <c r="D80" i="9"/>
  <c r="D81" i="9"/>
  <c r="D82" i="9"/>
  <c r="D83" i="9"/>
  <c r="D84" i="9"/>
  <c r="D85" i="9"/>
  <c r="D86" i="9"/>
  <c r="D87" i="9"/>
  <c r="D35" i="9"/>
  <c r="C34" i="9"/>
  <c r="C33" i="9"/>
  <c r="C31" i="9"/>
  <c r="C30" i="9"/>
  <c r="C29" i="9"/>
  <c r="C27" i="9"/>
  <c r="D28" i="9"/>
  <c r="D29" i="9"/>
  <c r="D30" i="9"/>
  <c r="D31" i="9"/>
  <c r="D32" i="9"/>
  <c r="D33" i="9"/>
  <c r="D34" i="9"/>
  <c r="D27" i="9"/>
  <c r="H16" i="19" l="1"/>
  <c r="I16" i="19"/>
  <c r="J16" i="19"/>
  <c r="K16" i="19"/>
  <c r="L16" i="19"/>
  <c r="B13" i="1"/>
  <c r="B7" i="12" l="1"/>
  <c r="B13" i="12" s="1"/>
  <c r="B8" i="12"/>
  <c r="I11" i="15"/>
  <c r="J11" i="15"/>
  <c r="K11" i="15"/>
  <c r="L11" i="15"/>
  <c r="M11" i="15"/>
  <c r="B26" i="5"/>
  <c r="C17" i="5"/>
  <c r="E17" i="5"/>
  <c r="G17" i="5"/>
  <c r="I17" i="5"/>
  <c r="K17" i="5"/>
  <c r="M17" i="5"/>
  <c r="C26" i="5"/>
  <c r="D26" i="5"/>
  <c r="E26" i="5"/>
  <c r="F26" i="5"/>
  <c r="G26" i="5"/>
  <c r="H26" i="5"/>
  <c r="C13" i="12" l="1"/>
  <c r="C14" i="12" s="1"/>
  <c r="D13" i="12"/>
  <c r="D14" i="12" s="1"/>
  <c r="B14" i="12"/>
  <c r="B19" i="12" s="1"/>
  <c r="D112" i="9"/>
  <c r="D99" i="9"/>
  <c r="E99" i="9" s="1"/>
  <c r="F99" i="9" s="1"/>
  <c r="G99" i="9" s="1"/>
  <c r="E97" i="9"/>
  <c r="F97" i="9" s="1"/>
  <c r="G97" i="9" s="1"/>
  <c r="E98" i="9"/>
  <c r="F98" i="9" s="1"/>
  <c r="G98" i="9" s="1"/>
  <c r="E100" i="9"/>
  <c r="F100" i="9" s="1"/>
  <c r="G100" i="9" s="1"/>
  <c r="E101" i="9"/>
  <c r="F101" i="9" s="1"/>
  <c r="G101" i="9" s="1"/>
  <c r="E102" i="9"/>
  <c r="F102" i="9" s="1"/>
  <c r="G102" i="9" s="1"/>
  <c r="E103" i="9"/>
  <c r="F103" i="9" s="1"/>
  <c r="G103" i="9" s="1"/>
  <c r="E104" i="9"/>
  <c r="F104" i="9" s="1"/>
  <c r="G104" i="9" s="1"/>
  <c r="E105" i="9"/>
  <c r="F105" i="9" s="1"/>
  <c r="G105" i="9" s="1"/>
  <c r="D96" i="9"/>
  <c r="E96" i="9" s="1"/>
  <c r="F96" i="9" s="1"/>
  <c r="G96" i="9" s="1"/>
  <c r="D95" i="9"/>
  <c r="E95" i="9" s="1"/>
  <c r="F95" i="9" s="1"/>
  <c r="C15" i="12" l="1"/>
  <c r="E14" i="12"/>
  <c r="C19" i="12"/>
  <c r="F14" i="12"/>
  <c r="D19" i="12"/>
  <c r="B18" i="12"/>
  <c r="B15" i="12"/>
  <c r="D18" i="12"/>
  <c r="F13" i="12"/>
  <c r="D15" i="12"/>
  <c r="E13" i="12"/>
  <c r="C18" i="12"/>
  <c r="G95" i="9"/>
  <c r="F106" i="9"/>
  <c r="D22" i="9"/>
  <c r="E22" i="9" s="1"/>
  <c r="F22" i="9" s="1"/>
  <c r="D23" i="9"/>
  <c r="E23" i="9" s="1"/>
  <c r="F23" i="9" s="1"/>
  <c r="D25" i="9"/>
  <c r="E25" i="9" s="1"/>
  <c r="F25" i="9" s="1"/>
  <c r="D26" i="9"/>
  <c r="D21" i="9"/>
  <c r="C20" i="12" l="1"/>
  <c r="D8" i="19" s="1"/>
  <c r="D20" i="12"/>
  <c r="E8" i="19" s="1"/>
  <c r="B20" i="12"/>
  <c r="H13" i="12"/>
  <c r="F18" i="12"/>
  <c r="F15" i="12"/>
  <c r="H14" i="12"/>
  <c r="F19" i="12"/>
  <c r="E18" i="12"/>
  <c r="G13" i="12"/>
  <c r="E15" i="12"/>
  <c r="G14" i="12"/>
  <c r="E19" i="12"/>
  <c r="E21" i="9"/>
  <c r="F21" i="9" s="1"/>
  <c r="E26" i="9"/>
  <c r="F26" i="9" s="1"/>
  <c r="F7" i="20" l="1"/>
  <c r="E7" i="20"/>
  <c r="C8" i="19"/>
  <c r="E20" i="12"/>
  <c r="F8" i="19" s="1"/>
  <c r="F20" i="12"/>
  <c r="G8" i="19" s="1"/>
  <c r="J14" i="12"/>
  <c r="J19" i="12" s="1"/>
  <c r="H19" i="12"/>
  <c r="G15" i="12"/>
  <c r="I14" i="12"/>
  <c r="G19" i="12"/>
  <c r="J13" i="12"/>
  <c r="H18" i="12"/>
  <c r="H15" i="12"/>
  <c r="G18" i="12"/>
  <c r="I13" i="12"/>
  <c r="D70" i="9"/>
  <c r="D71" i="9"/>
  <c r="G71" i="9" s="1"/>
  <c r="D72" i="9"/>
  <c r="F110" i="9"/>
  <c r="F111" i="9" s="1"/>
  <c r="F54" i="9"/>
  <c r="D40" i="9"/>
  <c r="D7" i="19"/>
  <c r="E7" i="19" s="1"/>
  <c r="F7" i="19" s="1"/>
  <c r="G7" i="19" s="1"/>
  <c r="H7" i="19" s="1"/>
  <c r="I7" i="19" s="1"/>
  <c r="J7" i="19" s="1"/>
  <c r="K7" i="19" s="1"/>
  <c r="L7" i="19" s="1"/>
  <c r="E8" i="15"/>
  <c r="F8" i="15" s="1"/>
  <c r="G8" i="15" s="1"/>
  <c r="H8" i="15" s="1"/>
  <c r="I8" i="15" s="1"/>
  <c r="J8" i="15" s="1"/>
  <c r="K8" i="15" s="1"/>
  <c r="L8" i="15" s="1"/>
  <c r="M8" i="15" s="1"/>
  <c r="C10" i="15"/>
  <c r="D7" i="20" l="1"/>
  <c r="H7" i="20"/>
  <c r="G7" i="20"/>
  <c r="G20" i="12"/>
  <c r="H8" i="19" s="1"/>
  <c r="H20" i="12"/>
  <c r="I8" i="19" s="1"/>
  <c r="J18" i="12"/>
  <c r="J15" i="12"/>
  <c r="I19" i="12"/>
  <c r="K14" i="12"/>
  <c r="K19" i="12" s="1"/>
  <c r="I18" i="12"/>
  <c r="I15" i="12"/>
  <c r="K13" i="12"/>
  <c r="E27" i="9"/>
  <c r="F27" i="9" s="1"/>
  <c r="G27" i="9" s="1"/>
  <c r="G70" i="9"/>
  <c r="D73" i="9"/>
  <c r="E78" i="9"/>
  <c r="F78" i="9" s="1"/>
  <c r="G78" i="9" s="1"/>
  <c r="G72" i="9"/>
  <c r="G110" i="9"/>
  <c r="G111" i="9" s="1"/>
  <c r="D15" i="19" l="1"/>
  <c r="C15" i="19"/>
  <c r="J7" i="20"/>
  <c r="I7" i="20"/>
  <c r="I20" i="12"/>
  <c r="J8" i="19" s="1"/>
  <c r="J20" i="12"/>
  <c r="K8" i="19" s="1"/>
  <c r="K18" i="12"/>
  <c r="K15" i="12"/>
  <c r="G106" i="9"/>
  <c r="B13" i="9"/>
  <c r="B10" i="15" s="1"/>
  <c r="D10" i="15" s="1"/>
  <c r="J15" i="19"/>
  <c r="K15" i="19"/>
  <c r="L15" i="19"/>
  <c r="E15" i="19"/>
  <c r="F15" i="19"/>
  <c r="H15" i="19"/>
  <c r="I15" i="19"/>
  <c r="G15" i="19"/>
  <c r="G73" i="9"/>
  <c r="E79" i="9"/>
  <c r="F79" i="9" s="1"/>
  <c r="G79" i="9" s="1"/>
  <c r="F64" i="9"/>
  <c r="G64" i="9" s="1"/>
  <c r="C14" i="9" s="1"/>
  <c r="E58" i="9"/>
  <c r="E59" i="9"/>
  <c r="E60" i="9"/>
  <c r="E61" i="9"/>
  <c r="E57" i="9"/>
  <c r="F58" i="9"/>
  <c r="G58" i="9" s="1"/>
  <c r="F59" i="9"/>
  <c r="G59" i="9" s="1"/>
  <c r="F60" i="9"/>
  <c r="G60" i="9" s="1"/>
  <c r="F61" i="9"/>
  <c r="G61" i="9" s="1"/>
  <c r="F57" i="9"/>
  <c r="G57" i="9" s="1"/>
  <c r="F53" i="9"/>
  <c r="G53" i="9" s="1"/>
  <c r="E40" i="9"/>
  <c r="C12" i="19" l="1"/>
  <c r="D12" i="19" s="1"/>
  <c r="E12" i="19" s="1"/>
  <c r="L7" i="20"/>
  <c r="K7" i="20"/>
  <c r="K20" i="12"/>
  <c r="L8" i="19" s="1"/>
  <c r="E28" i="9"/>
  <c r="F28" i="9" s="1"/>
  <c r="G28" i="9" s="1"/>
  <c r="C10" i="9"/>
  <c r="C11" i="19" s="1"/>
  <c r="D11" i="19" s="1"/>
  <c r="E80" i="9"/>
  <c r="F80" i="9" s="1"/>
  <c r="G80" i="9" s="1"/>
  <c r="F40" i="9"/>
  <c r="F51" i="9" s="1"/>
  <c r="G51" i="9" s="1"/>
  <c r="E62" i="9"/>
  <c r="G54" i="9"/>
  <c r="F55" i="9"/>
  <c r="F62" i="9"/>
  <c r="F65" i="9"/>
  <c r="E51" i="9"/>
  <c r="F12" i="19" l="1"/>
  <c r="M7" i="20"/>
  <c r="E29" i="9"/>
  <c r="F29" i="9" s="1"/>
  <c r="G29" i="9" s="1"/>
  <c r="G62" i="9"/>
  <c r="G55" i="9"/>
  <c r="B11" i="9" s="1"/>
  <c r="E81" i="9"/>
  <c r="F81" i="9" s="1"/>
  <c r="G40" i="9"/>
  <c r="G65" i="9"/>
  <c r="B14" i="9" s="1"/>
  <c r="G12" i="19" l="1"/>
  <c r="E30" i="9"/>
  <c r="F30" i="9" s="1"/>
  <c r="G30" i="9" s="1"/>
  <c r="B12" i="9"/>
  <c r="B9" i="15" s="1"/>
  <c r="D9" i="15" s="1"/>
  <c r="D11" i="15" s="1"/>
  <c r="G81" i="9"/>
  <c r="E82" i="9"/>
  <c r="F82" i="9" s="1"/>
  <c r="G82" i="9" s="1"/>
  <c r="B10" i="9"/>
  <c r="C37" i="9"/>
  <c r="H12" i="19" l="1"/>
  <c r="E31" i="9"/>
  <c r="F31" i="9" s="1"/>
  <c r="G31" i="9" s="1"/>
  <c r="C16" i="19"/>
  <c r="D12" i="15"/>
  <c r="D15" i="20"/>
  <c r="E83" i="9"/>
  <c r="F83" i="9" s="1"/>
  <c r="G83" i="9" s="1"/>
  <c r="G25" i="9"/>
  <c r="G22" i="9"/>
  <c r="G21" i="9"/>
  <c r="G26" i="9"/>
  <c r="G23" i="9"/>
  <c r="I12" i="19" l="1"/>
  <c r="E32" i="9"/>
  <c r="F32" i="9" s="1"/>
  <c r="G32" i="9" s="1"/>
  <c r="F10" i="15"/>
  <c r="H10" i="15"/>
  <c r="G10" i="15"/>
  <c r="E10" i="15"/>
  <c r="J12" i="19" l="1"/>
  <c r="E84" i="9"/>
  <c r="F84" i="9" s="1"/>
  <c r="G84" i="9" s="1"/>
  <c r="E9" i="15"/>
  <c r="E11" i="15" s="1"/>
  <c r="D16" i="19" s="1"/>
  <c r="K12" i="19" l="1"/>
  <c r="E33" i="9"/>
  <c r="F33" i="9" s="1"/>
  <c r="G33" i="9" s="1"/>
  <c r="E15" i="20"/>
  <c r="E12" i="15"/>
  <c r="E85" i="9"/>
  <c r="F85" i="9" s="1"/>
  <c r="G85" i="9" s="1"/>
  <c r="E11" i="19"/>
  <c r="F11" i="19" s="1"/>
  <c r="G11" i="19" s="1"/>
  <c r="F9" i="15"/>
  <c r="F11" i="15" s="1"/>
  <c r="L12" i="19" l="1"/>
  <c r="E34" i="9"/>
  <c r="F34" i="9" s="1"/>
  <c r="G34" i="9" s="1"/>
  <c r="E35" i="9"/>
  <c r="F35" i="9" s="1"/>
  <c r="E16" i="19"/>
  <c r="F15" i="20"/>
  <c r="E86" i="9"/>
  <c r="F86" i="9" s="1"/>
  <c r="G86" i="9" s="1"/>
  <c r="H11" i="19"/>
  <c r="G9" i="15"/>
  <c r="F36" i="9" l="1"/>
  <c r="G35" i="9"/>
  <c r="H9" i="15"/>
  <c r="H11" i="15" s="1"/>
  <c r="G11" i="15"/>
  <c r="I11" i="19"/>
  <c r="G36" i="9" l="1"/>
  <c r="F37" i="9"/>
  <c r="F38" i="9" s="1"/>
  <c r="F16" i="19"/>
  <c r="G16" i="19"/>
  <c r="G15" i="20"/>
  <c r="H15" i="20"/>
  <c r="E87" i="9"/>
  <c r="F87" i="9" s="1"/>
  <c r="G87" i="9" s="1"/>
  <c r="J11" i="19"/>
  <c r="G37" i="9" l="1"/>
  <c r="F88" i="9"/>
  <c r="G88" i="9" s="1"/>
  <c r="K11" i="19"/>
  <c r="B24" i="5"/>
  <c r="B16" i="5"/>
  <c r="D16" i="5"/>
  <c r="C25" i="5" s="1"/>
  <c r="C16" i="5"/>
  <c r="L16" i="5"/>
  <c r="G25" i="5" s="1"/>
  <c r="K16" i="5"/>
  <c r="J16" i="5"/>
  <c r="F25" i="5" s="1"/>
  <c r="I16" i="5"/>
  <c r="M16" i="5"/>
  <c r="H16" i="5"/>
  <c r="E25" i="5" s="1"/>
  <c r="G16" i="5"/>
  <c r="F16" i="5"/>
  <c r="D25" i="5" s="1"/>
  <c r="E16" i="5"/>
  <c r="G38" i="9" l="1"/>
  <c r="B9" i="9" s="1"/>
  <c r="F66" i="9"/>
  <c r="G66" i="9" s="1"/>
  <c r="G90" i="9"/>
  <c r="F90" i="9"/>
  <c r="L11" i="19"/>
  <c r="B25" i="5"/>
  <c r="F24" i="5"/>
  <c r="F27" i="5" s="1"/>
  <c r="H25" i="5"/>
  <c r="D24" i="5"/>
  <c r="D27" i="5" s="1"/>
  <c r="C24" i="5"/>
  <c r="C27" i="5" s="1"/>
  <c r="G24" i="5"/>
  <c r="G27" i="5" s="1"/>
  <c r="E24" i="5"/>
  <c r="E27" i="5" s="1"/>
  <c r="B15" i="9" l="1"/>
  <c r="F91" i="9"/>
  <c r="F92" i="9" s="1"/>
  <c r="F112" i="9" s="1"/>
  <c r="F113" i="9" s="1"/>
  <c r="G91" i="9"/>
  <c r="G92" i="9" s="1"/>
  <c r="B27" i="5"/>
  <c r="H28" i="5" s="1"/>
  <c r="H24" i="5"/>
  <c r="C9" i="9" l="1"/>
  <c r="C10" i="19" s="1"/>
  <c r="G112" i="9"/>
  <c r="H27" i="5"/>
  <c r="C13" i="19" l="1"/>
  <c r="D8" i="20" s="1"/>
  <c r="C17" i="19"/>
  <c r="G113" i="9"/>
  <c r="C11" i="9" s="1"/>
  <c r="C15" i="9" s="1"/>
  <c r="B16" i="9" s="1"/>
  <c r="D10" i="19"/>
  <c r="D13" i="19" l="1"/>
  <c r="D14" i="19" s="1"/>
  <c r="D17" i="19"/>
  <c r="C18" i="19"/>
  <c r="D9" i="20" s="1"/>
  <c r="E10" i="19"/>
  <c r="C21" i="20"/>
  <c r="C29" i="20" s="1"/>
  <c r="B6" i="17"/>
  <c r="B7" i="17" s="1"/>
  <c r="E8" i="20" l="1"/>
  <c r="E13" i="19"/>
  <c r="F8" i="20" s="1"/>
  <c r="C30" i="20"/>
  <c r="E17" i="19"/>
  <c r="D18" i="19"/>
  <c r="F10" i="19"/>
  <c r="C18" i="20"/>
  <c r="C16" i="20"/>
  <c r="F12" i="15"/>
  <c r="F13" i="19" l="1"/>
  <c r="G8" i="20" s="1"/>
  <c r="C23" i="20"/>
  <c r="C27" i="20" s="1"/>
  <c r="E9" i="20"/>
  <c r="D19" i="19"/>
  <c r="F17" i="19"/>
  <c r="E18" i="19"/>
  <c r="F9" i="20" s="1"/>
  <c r="G10" i="19"/>
  <c r="B11" i="17"/>
  <c r="E14" i="17" s="1"/>
  <c r="B14" i="17"/>
  <c r="C14" i="17" s="1"/>
  <c r="D10" i="20" s="1"/>
  <c r="D11" i="20" s="1"/>
  <c r="B10" i="17"/>
  <c r="G12" i="15"/>
  <c r="G13" i="19" l="1"/>
  <c r="H8" i="20" s="1"/>
  <c r="C24" i="20"/>
  <c r="G17" i="19"/>
  <c r="F18" i="19"/>
  <c r="G9" i="20" s="1"/>
  <c r="H10" i="19"/>
  <c r="D12" i="20"/>
  <c r="C20" i="19"/>
  <c r="C31" i="19" s="1"/>
  <c r="C32" i="19" s="1"/>
  <c r="D14" i="17"/>
  <c r="D22" i="20" s="1"/>
  <c r="E15" i="17"/>
  <c r="H12" i="15"/>
  <c r="H13" i="19" l="1"/>
  <c r="I8" i="20" s="1"/>
  <c r="H17" i="19"/>
  <c r="G18" i="19"/>
  <c r="H9" i="20" s="1"/>
  <c r="I10" i="19"/>
  <c r="F14" i="17"/>
  <c r="B15" i="17" s="1"/>
  <c r="C15" i="17" s="1"/>
  <c r="D20" i="19" s="1"/>
  <c r="C32" i="20"/>
  <c r="E16" i="17"/>
  <c r="I12" i="15"/>
  <c r="D21" i="19" l="1"/>
  <c r="D22" i="19" s="1"/>
  <c r="D23" i="19" s="1"/>
  <c r="D24" i="19" s="1"/>
  <c r="D31" i="19"/>
  <c r="D32" i="19" s="1"/>
  <c r="I13" i="19"/>
  <c r="J8" i="20" s="1"/>
  <c r="I17" i="19"/>
  <c r="H18" i="19"/>
  <c r="I9" i="20" s="1"/>
  <c r="J10" i="19"/>
  <c r="E10" i="20"/>
  <c r="E11" i="20" s="1"/>
  <c r="D15" i="17"/>
  <c r="E17" i="17"/>
  <c r="J12" i="15"/>
  <c r="J13" i="19" l="1"/>
  <c r="K8" i="20" s="1"/>
  <c r="J17" i="19"/>
  <c r="I18" i="19"/>
  <c r="J9" i="20" s="1"/>
  <c r="K10" i="19"/>
  <c r="F15" i="17"/>
  <c r="B16" i="17" s="1"/>
  <c r="C16" i="17" s="1"/>
  <c r="E22" i="20"/>
  <c r="E18" i="17"/>
  <c r="K12" i="15"/>
  <c r="K13" i="19" l="1"/>
  <c r="L8" i="20" s="1"/>
  <c r="K17" i="19"/>
  <c r="J18" i="19"/>
  <c r="K9" i="20" s="1"/>
  <c r="L10" i="19"/>
  <c r="E20" i="19"/>
  <c r="E31" i="19" s="1"/>
  <c r="E32" i="19" s="1"/>
  <c r="F10" i="20"/>
  <c r="F11" i="20" s="1"/>
  <c r="D16" i="17"/>
  <c r="F16" i="17" s="1"/>
  <c r="B17" i="17" s="1"/>
  <c r="C17" i="17" s="1"/>
  <c r="E19" i="17"/>
  <c r="E20" i="17" s="1"/>
  <c r="E21" i="17" s="1"/>
  <c r="E22" i="17" s="1"/>
  <c r="E23" i="17" s="1"/>
  <c r="L12" i="15"/>
  <c r="L17" i="19" l="1"/>
  <c r="L18" i="19" s="1"/>
  <c r="M9" i="20" s="1"/>
  <c r="K18" i="19"/>
  <c r="L9" i="20" s="1"/>
  <c r="L13" i="19"/>
  <c r="L14" i="19" s="1"/>
  <c r="F20" i="19"/>
  <c r="F31" i="19" s="1"/>
  <c r="F32" i="19" s="1"/>
  <c r="F22" i="20"/>
  <c r="G10" i="20"/>
  <c r="G11" i="20" s="1"/>
  <c r="D17" i="17"/>
  <c r="E24" i="17"/>
  <c r="M12" i="15"/>
  <c r="M8" i="20" l="1"/>
  <c r="F17" i="17"/>
  <c r="B18" i="17" s="1"/>
  <c r="C18" i="17" s="1"/>
  <c r="G22" i="20"/>
  <c r="H10" i="20" l="1"/>
  <c r="H11" i="20" s="1"/>
  <c r="G20" i="19"/>
  <c r="G31" i="19" s="1"/>
  <c r="G32" i="19" s="1"/>
  <c r="D18" i="17"/>
  <c r="F18" i="17" l="1"/>
  <c r="B19" i="17" s="1"/>
  <c r="C19" i="17" s="1"/>
  <c r="H22" i="20"/>
  <c r="H20" i="19" l="1"/>
  <c r="H31" i="19" s="1"/>
  <c r="H32" i="19" s="1"/>
  <c r="I10" i="20"/>
  <c r="I11" i="20" s="1"/>
  <c r="D19" i="17"/>
  <c r="F19" i="17" l="1"/>
  <c r="B20" i="17" s="1"/>
  <c r="C20" i="17" s="1"/>
  <c r="I22" i="20"/>
  <c r="I20" i="19" l="1"/>
  <c r="I31" i="19" s="1"/>
  <c r="I32" i="19" s="1"/>
  <c r="D20" i="17"/>
  <c r="J10" i="20"/>
  <c r="J11" i="20" s="1"/>
  <c r="F20" i="17" l="1"/>
  <c r="J22" i="20"/>
  <c r="B21" i="17" l="1"/>
  <c r="C21" i="17" s="1"/>
  <c r="K10" i="20" l="1"/>
  <c r="K11" i="20" s="1"/>
  <c r="J20" i="19"/>
  <c r="J31" i="19" s="1"/>
  <c r="J32" i="19" s="1"/>
  <c r="D21" i="17"/>
  <c r="C14" i="19"/>
  <c r="C19" i="19" s="1"/>
  <c r="C21" i="19" s="1"/>
  <c r="I12" i="20"/>
  <c r="I13" i="20" s="1"/>
  <c r="I23" i="20" s="1"/>
  <c r="F12" i="20"/>
  <c r="F13" i="20" s="1"/>
  <c r="F23" i="20" s="1"/>
  <c r="K12" i="20" l="1"/>
  <c r="K13" i="20" s="1"/>
  <c r="K22" i="20"/>
  <c r="F21" i="17"/>
  <c r="C22" i="19"/>
  <c r="C23" i="19" s="1"/>
  <c r="C24" i="19" s="1"/>
  <c r="C25" i="19" s="1"/>
  <c r="D25" i="19" s="1"/>
  <c r="J12" i="20"/>
  <c r="J13" i="20" s="1"/>
  <c r="J23" i="20" s="1"/>
  <c r="F27" i="20"/>
  <c r="F29" i="20"/>
  <c r="F32" i="20" s="1"/>
  <c r="E12" i="20"/>
  <c r="E13" i="20" s="1"/>
  <c r="E23" i="20" s="1"/>
  <c r="I29" i="20"/>
  <c r="I32" i="20" s="1"/>
  <c r="I27" i="20"/>
  <c r="H12" i="20"/>
  <c r="H13" i="20" s="1"/>
  <c r="H23" i="20" s="1"/>
  <c r="G12" i="20"/>
  <c r="G13" i="20" s="1"/>
  <c r="G23" i="20" s="1"/>
  <c r="D13" i="20" l="1"/>
  <c r="D23" i="20" s="1"/>
  <c r="K23" i="20"/>
  <c r="B22" i="17"/>
  <c r="C22" i="17" s="1"/>
  <c r="C27" i="19"/>
  <c r="E27" i="20"/>
  <c r="E29" i="20"/>
  <c r="E32" i="20" s="1"/>
  <c r="G29" i="20"/>
  <c r="G32" i="20" s="1"/>
  <c r="G27" i="20"/>
  <c r="H27" i="20"/>
  <c r="H29" i="20"/>
  <c r="H32" i="20" s="1"/>
  <c r="J27" i="20"/>
  <c r="J29" i="20"/>
  <c r="J32" i="20" s="1"/>
  <c r="D24" i="20" l="1"/>
  <c r="E24" i="20" s="1"/>
  <c r="F24" i="20" s="1"/>
  <c r="G24" i="20" s="1"/>
  <c r="H24" i="20" s="1"/>
  <c r="I24" i="20" s="1"/>
  <c r="J24" i="20" s="1"/>
  <c r="K24" i="20" s="1"/>
  <c r="D29" i="20"/>
  <c r="K27" i="20"/>
  <c r="D27" i="20"/>
  <c r="K29" i="20"/>
  <c r="K32" i="20" s="1"/>
  <c r="L10" i="20"/>
  <c r="L11" i="20" s="1"/>
  <c r="K20" i="19"/>
  <c r="K31" i="19" s="1"/>
  <c r="K32" i="19" s="1"/>
  <c r="D22" i="17"/>
  <c r="H14" i="19"/>
  <c r="H19" i="19" s="1"/>
  <c r="H21" i="19" s="1"/>
  <c r="J14" i="19"/>
  <c r="J19" i="19" s="1"/>
  <c r="J21" i="19" s="1"/>
  <c r="E14" i="19"/>
  <c r="E19" i="19" s="1"/>
  <c r="E21" i="19" s="1"/>
  <c r="L19" i="19"/>
  <c r="K14" i="19"/>
  <c r="K19" i="19" s="1"/>
  <c r="I14" i="19"/>
  <c r="I19" i="19" s="1"/>
  <c r="I21" i="19" s="1"/>
  <c r="F14" i="19"/>
  <c r="F19" i="19" s="1"/>
  <c r="F21" i="19" s="1"/>
  <c r="G14" i="19"/>
  <c r="G19" i="19" s="1"/>
  <c r="G21" i="19" s="1"/>
  <c r="L12" i="20" l="1"/>
  <c r="L13" i="20" s="1"/>
  <c r="D32" i="20"/>
  <c r="D30" i="20"/>
  <c r="K21" i="19"/>
  <c r="K22" i="19" s="1"/>
  <c r="K23" i="19" s="1"/>
  <c r="K24" i="19" s="1"/>
  <c r="L22" i="20"/>
  <c r="F22" i="17"/>
  <c r="I22" i="19"/>
  <c r="I23" i="19" s="1"/>
  <c r="I24" i="19" s="1"/>
  <c r="J22" i="19"/>
  <c r="J23" i="19" s="1"/>
  <c r="J24" i="19" s="1"/>
  <c r="H22" i="19"/>
  <c r="H23" i="19" s="1"/>
  <c r="H24" i="19" s="1"/>
  <c r="E22" i="19"/>
  <c r="E23" i="19" s="1"/>
  <c r="E24" i="19" s="1"/>
  <c r="F22" i="19"/>
  <c r="F23" i="19" s="1"/>
  <c r="F24" i="19" s="1"/>
  <c r="G22" i="19"/>
  <c r="G23" i="19" s="1"/>
  <c r="G24" i="19" s="1"/>
  <c r="E25" i="19" l="1"/>
  <c r="F25" i="19" s="1"/>
  <c r="G25" i="19" s="1"/>
  <c r="H25" i="19" s="1"/>
  <c r="I25" i="19" s="1"/>
  <c r="J25" i="19" s="1"/>
  <c r="K25" i="19" s="1"/>
  <c r="L23" i="20"/>
  <c r="L27" i="20" s="1"/>
  <c r="E30" i="20"/>
  <c r="F30" i="20" s="1"/>
  <c r="G30" i="20" s="1"/>
  <c r="H30" i="20" s="1"/>
  <c r="I30" i="20" s="1"/>
  <c r="J30" i="20" s="1"/>
  <c r="K30" i="20" s="1"/>
  <c r="K27" i="19"/>
  <c r="B23" i="17"/>
  <c r="C23" i="17" s="1"/>
  <c r="F27" i="19"/>
  <c r="D27" i="19"/>
  <c r="I27" i="19"/>
  <c r="J27" i="19"/>
  <c r="G27" i="19"/>
  <c r="E27" i="19"/>
  <c r="H27" i="19"/>
  <c r="L24" i="20" l="1"/>
  <c r="L29" i="20"/>
  <c r="M10" i="20"/>
  <c r="M11" i="20" s="1"/>
  <c r="L20" i="19"/>
  <c r="D23" i="17"/>
  <c r="C24" i="17"/>
  <c r="L21" i="19" l="1"/>
  <c r="L22" i="19" s="1"/>
  <c r="L23" i="19" s="1"/>
  <c r="L24" i="19" s="1"/>
  <c r="L25" i="19" s="1"/>
  <c r="L31" i="19"/>
  <c r="L32" i="19" s="1"/>
  <c r="L32" i="20"/>
  <c r="L30" i="20"/>
  <c r="M12" i="20"/>
  <c r="M13" i="20" s="1"/>
  <c r="M22" i="20"/>
  <c r="D24" i="17"/>
  <c r="F23" i="17"/>
  <c r="L27" i="19" l="1"/>
  <c r="C29" i="19" s="1"/>
  <c r="M23" i="20"/>
  <c r="M27" i="20" s="1"/>
  <c r="M24" i="20" l="1"/>
  <c r="M29" i="20"/>
  <c r="B31" i="20" s="1"/>
  <c r="M30" i="20" l="1"/>
  <c r="B33" i="20" s="1"/>
  <c r="M32" i="20"/>
  <c r="B32" i="20" s="1"/>
</calcChain>
</file>

<file path=xl/sharedStrings.xml><?xml version="1.0" encoding="utf-8"?>
<sst xmlns="http://schemas.openxmlformats.org/spreadsheetml/2006/main" count="379" uniqueCount="244">
  <si>
    <t>Cuadro #1</t>
  </si>
  <si>
    <t>Supuestos</t>
  </si>
  <si>
    <t>Cifras en Dólares (US$)</t>
  </si>
  <si>
    <t>Concepto</t>
  </si>
  <si>
    <t>Valor</t>
  </si>
  <si>
    <t>Descripción</t>
  </si>
  <si>
    <t>Tasa interés crédito</t>
  </si>
  <si>
    <t>Anual</t>
  </si>
  <si>
    <t>Plazo crédito (años)</t>
  </si>
  <si>
    <t>Plazo amortización</t>
  </si>
  <si>
    <t xml:space="preserve">Avío Plátano </t>
  </si>
  <si>
    <t>Rubro</t>
  </si>
  <si>
    <t>Total</t>
  </si>
  <si>
    <t>Análisis de suelo</t>
  </si>
  <si>
    <t>global</t>
  </si>
  <si>
    <t>Tipo de cambio</t>
  </si>
  <si>
    <t>kg</t>
  </si>
  <si>
    <t>litro</t>
  </si>
  <si>
    <t>Cantidad</t>
  </si>
  <si>
    <t>Unidad de medida</t>
  </si>
  <si>
    <t>Costa Rica</t>
  </si>
  <si>
    <t>En toneladas y miles de US$ (Valor FOB)</t>
  </si>
  <si>
    <t>Año</t>
  </si>
  <si>
    <t>2020</t>
  </si>
  <si>
    <t>2021</t>
  </si>
  <si>
    <t>2022</t>
  </si>
  <si>
    <t>2023</t>
  </si>
  <si>
    <t>2024</t>
  </si>
  <si>
    <t>REGION</t>
  </si>
  <si>
    <t>TM</t>
  </si>
  <si>
    <t>Miles US$</t>
  </si>
  <si>
    <t>América Central</t>
  </si>
  <si>
    <t>América del Norte</t>
  </si>
  <si>
    <t>América del Sur</t>
  </si>
  <si>
    <t>Asia</t>
  </si>
  <si>
    <t>Caribe</t>
  </si>
  <si>
    <t>Medio Oriente</t>
  </si>
  <si>
    <t>Otros</t>
  </si>
  <si>
    <t>Resto de Europa</t>
  </si>
  <si>
    <t>Unión Europea</t>
  </si>
  <si>
    <t>Gran Total</t>
  </si>
  <si>
    <t>Precio Promedio Tonelada</t>
  </si>
  <si>
    <t>Fuente:</t>
  </si>
  <si>
    <t>Procomer (https://servicios.procomer.go.cr/PortalEstadistico/)</t>
  </si>
  <si>
    <t>Promedio</t>
  </si>
  <si>
    <t>Ventas Anuales Miles de US$ (FOB)</t>
  </si>
  <si>
    <t>Toneladas</t>
  </si>
  <si>
    <t>Precio Promedio Kilo</t>
  </si>
  <si>
    <t>Desviación Estándar</t>
  </si>
  <si>
    <t>Exportaciones de Plátano</t>
  </si>
  <si>
    <t>Año 1</t>
  </si>
  <si>
    <t>Cuadro #4</t>
  </si>
  <si>
    <t>Detalle Costos Financieros  - Atención Deuda</t>
  </si>
  <si>
    <t>Monto solicitado (USD)</t>
  </si>
  <si>
    <t>Tasa interés anual</t>
  </si>
  <si>
    <t>Periodo</t>
  </si>
  <si>
    <t>Saldo Inicial</t>
  </si>
  <si>
    <t>Interés</t>
  </si>
  <si>
    <t>Amortización</t>
  </si>
  <si>
    <t>Cuota</t>
  </si>
  <si>
    <t>Saldo Final</t>
  </si>
  <si>
    <t>Intereses</t>
  </si>
  <si>
    <t>Cuadro #5</t>
  </si>
  <si>
    <t>Flujo de Caja</t>
  </si>
  <si>
    <t>Impuestos</t>
  </si>
  <si>
    <t>Más</t>
  </si>
  <si>
    <t>Depreciaciones</t>
  </si>
  <si>
    <t>Menos</t>
  </si>
  <si>
    <t>Inversión Inicial</t>
  </si>
  <si>
    <t>Atención Deuda</t>
  </si>
  <si>
    <t>Flujo Caja Anual</t>
  </si>
  <si>
    <t>Flujo Caja Acumulado</t>
  </si>
  <si>
    <t>Variables Financieras</t>
  </si>
  <si>
    <t>Flujo Caja Inversión</t>
  </si>
  <si>
    <t>Flujo Caja Proyecto</t>
  </si>
  <si>
    <t>Flujo Caja Acumulado Proyecto</t>
  </si>
  <si>
    <t>TIR</t>
  </si>
  <si>
    <t>VAN del Proyecto</t>
  </si>
  <si>
    <t>Payback</t>
  </si>
  <si>
    <t>Tasa de Descuento</t>
  </si>
  <si>
    <t>Palín</t>
  </si>
  <si>
    <t xml:space="preserve">Cargas sociales </t>
  </si>
  <si>
    <t>Imprevistos</t>
  </si>
  <si>
    <t>Capital social</t>
  </si>
  <si>
    <t>Plantas por ha</t>
  </si>
  <si>
    <t>Racimos/año</t>
  </si>
  <si>
    <t>Racimos/caja</t>
  </si>
  <si>
    <t>Costo total</t>
  </si>
  <si>
    <t>Labores de mano de obra</t>
  </si>
  <si>
    <t>Subtotal mano de obra</t>
  </si>
  <si>
    <t>porcentaje</t>
  </si>
  <si>
    <t xml:space="preserve">Cantidad/ha </t>
  </si>
  <si>
    <t>Valor unitario</t>
  </si>
  <si>
    <t>Total de mano de obra</t>
  </si>
  <si>
    <t>Cantidad de hectáreas</t>
  </si>
  <si>
    <t>Costo total/ha (USD)</t>
  </si>
  <si>
    <t>Insumos</t>
  </si>
  <si>
    <t>unidad</t>
  </si>
  <si>
    <t>servicio</t>
  </si>
  <si>
    <t xml:space="preserve">Semillas </t>
  </si>
  <si>
    <t>Total insumos</t>
  </si>
  <si>
    <t>Costo total/ha (COL)</t>
  </si>
  <si>
    <t>Total otros</t>
  </si>
  <si>
    <t>Herramientas</t>
  </si>
  <si>
    <t>Palas carrileras</t>
  </si>
  <si>
    <t>Lima con cubierta</t>
  </si>
  <si>
    <t>Cuchillo 24 pulgadas</t>
  </si>
  <si>
    <t>Macana</t>
  </si>
  <si>
    <t>Total herramientas</t>
  </si>
  <si>
    <t>Terreno</t>
  </si>
  <si>
    <t>Alquiler de terreno</t>
  </si>
  <si>
    <t>ha</t>
  </si>
  <si>
    <t>Total terreno</t>
  </si>
  <si>
    <t>Exportación</t>
  </si>
  <si>
    <t>Nacional</t>
  </si>
  <si>
    <t>Equipo agrícola necesario</t>
  </si>
  <si>
    <t>Precio unitario</t>
  </si>
  <si>
    <t>Valor total</t>
  </si>
  <si>
    <t>VU estimada</t>
  </si>
  <si>
    <t>VR</t>
  </si>
  <si>
    <t>Dep/anual</t>
  </si>
  <si>
    <t>Motobombas</t>
  </si>
  <si>
    <t>Motoguadañas</t>
  </si>
  <si>
    <t>Bombas de espalda manuales</t>
  </si>
  <si>
    <t>Total equipo agrícola</t>
  </si>
  <si>
    <t>Costos detallados</t>
  </si>
  <si>
    <t>Cajas de 23kg/ha</t>
  </si>
  <si>
    <t>Cuadro #2</t>
  </si>
  <si>
    <t>Cuadro #3</t>
  </si>
  <si>
    <t>Vida útil</t>
  </si>
  <si>
    <t>Valor residual</t>
  </si>
  <si>
    <t>Construcciones</t>
  </si>
  <si>
    <t>Preliminar</t>
  </si>
  <si>
    <t>Herramientas y equipo</t>
  </si>
  <si>
    <t>Total depreciaciones</t>
  </si>
  <si>
    <t>Total depreciación acumulada</t>
  </si>
  <si>
    <t>Plazo (años)</t>
  </si>
  <si>
    <t>Aportaciones (USD)</t>
  </si>
  <si>
    <t>Inflación</t>
  </si>
  <si>
    <t>Ingresos</t>
  </si>
  <si>
    <t>Utilidad antes de impuestos</t>
  </si>
  <si>
    <t>Impuesto sobre la renta</t>
  </si>
  <si>
    <t>Utilidad Neta Después de Impuestos</t>
  </si>
  <si>
    <t>Utilidad del período</t>
  </si>
  <si>
    <t>Estado de resultados proyectado</t>
  </si>
  <si>
    <t>Precio promedio de exportación</t>
  </si>
  <si>
    <t>Precio en finca (USD/Caja)</t>
  </si>
  <si>
    <t xml:space="preserve">Precio promedio nacional </t>
  </si>
  <si>
    <t xml:space="preserve">Porcentaje de aportaciones </t>
  </si>
  <si>
    <t>Cantidad de plantas por hectárea</t>
  </si>
  <si>
    <t>Porcentaje de imprevistos sobre insumos y producción</t>
  </si>
  <si>
    <t>Cantidad de racimos producidos por planta</t>
  </si>
  <si>
    <t xml:space="preserve">De la producción total de racimos </t>
  </si>
  <si>
    <t>Cantidad de racimos necesarios por caja</t>
  </si>
  <si>
    <t>Costo meristemo (COL)</t>
  </si>
  <si>
    <t xml:space="preserve">Precio promedio en colones </t>
  </si>
  <si>
    <t xml:space="preserve">Valor </t>
  </si>
  <si>
    <t>Contador</t>
  </si>
  <si>
    <t>Producción e ingresos estimados</t>
  </si>
  <si>
    <t>Avío Plátano</t>
  </si>
  <si>
    <t>Estado de resultados</t>
  </si>
  <si>
    <t>Rentabilidad sobre las ventas</t>
  </si>
  <si>
    <t>Rentabilidad promedio 10 años</t>
  </si>
  <si>
    <t>Costos fijos</t>
  </si>
  <si>
    <t>Utilidad Antes de Impuestos</t>
  </si>
  <si>
    <t>Total costos operativos</t>
  </si>
  <si>
    <t>Utilidad bruta</t>
  </si>
  <si>
    <t>Costos de producción</t>
  </si>
  <si>
    <t>Total costos de producción</t>
  </si>
  <si>
    <t>Utilidad operativa</t>
  </si>
  <si>
    <t>Crédito</t>
  </si>
  <si>
    <t>Cifras en Colones y Dólares (US$)</t>
  </si>
  <si>
    <t>Inversiones activos fijos</t>
  </si>
  <si>
    <t>Aporte de capital</t>
  </si>
  <si>
    <t>Cuadro #7</t>
  </si>
  <si>
    <t>Chapia</t>
  </si>
  <si>
    <t>Trazado</t>
  </si>
  <si>
    <t>Hoyado</t>
  </si>
  <si>
    <t>Siembra</t>
  </si>
  <si>
    <t>hora hombre</t>
  </si>
  <si>
    <t>Análisis nemátodos</t>
  </si>
  <si>
    <t>Total gastos operación año 0</t>
  </si>
  <si>
    <t xml:space="preserve">Control químico de malezas </t>
  </si>
  <si>
    <t>Aplicación de nematicida</t>
  </si>
  <si>
    <t>Control de plagas</t>
  </si>
  <si>
    <t xml:space="preserve">Control de sigatoka </t>
  </si>
  <si>
    <t>Aplicación fertilizante</t>
  </si>
  <si>
    <t>Rodajeas</t>
  </si>
  <si>
    <t>Deshoje y despunte</t>
  </si>
  <si>
    <t>Apuntalamiento</t>
  </si>
  <si>
    <t xml:space="preserve">Deshija para formación </t>
  </si>
  <si>
    <t>Mantenimiento de drenajes terciarios</t>
  </si>
  <si>
    <t>Cargas sociales</t>
  </si>
  <si>
    <t>Fertilizante 18-46-00</t>
  </si>
  <si>
    <t>Fertilizante 15-3-31</t>
  </si>
  <si>
    <t xml:space="preserve">Sulfato de amonio </t>
  </si>
  <si>
    <t>Urea</t>
  </si>
  <si>
    <t>Terbufos</t>
  </si>
  <si>
    <t>Propiconazol</t>
  </si>
  <si>
    <t>Mancozeb</t>
  </si>
  <si>
    <t>Mecate piola (para apuntalar)</t>
  </si>
  <si>
    <t>Cintas</t>
  </si>
  <si>
    <t xml:space="preserve">Total insumos </t>
  </si>
  <si>
    <t>Gastos administrativos</t>
  </si>
  <si>
    <t>Subtotal otros costos</t>
  </si>
  <si>
    <t>Costo total anual</t>
  </si>
  <si>
    <t>Equipo agrícola</t>
  </si>
  <si>
    <t>Cuadro #8</t>
  </si>
  <si>
    <t>Peso caja kg</t>
  </si>
  <si>
    <t>Año 0</t>
  </si>
  <si>
    <t>-</t>
  </si>
  <si>
    <t xml:space="preserve">Herramientas </t>
  </si>
  <si>
    <t>Interés aual (USD)</t>
  </si>
  <si>
    <t>Cuota anual (USD)</t>
  </si>
  <si>
    <t xml:space="preserve">Imprevistos </t>
  </si>
  <si>
    <t xml:space="preserve"> </t>
  </si>
  <si>
    <t>Utilidad Neta</t>
  </si>
  <si>
    <t>Costos financieros (USD)</t>
  </si>
  <si>
    <t xml:space="preserve">Tipo de cambio de venta según BCCR </t>
  </si>
  <si>
    <t>Costo total anual (por año)</t>
  </si>
  <si>
    <t>Utilidad retenida acumulada</t>
  </si>
  <si>
    <t>Costos operativos</t>
  </si>
  <si>
    <t>Año 0 (Inversión/Establecimiento de la plantación)</t>
  </si>
  <si>
    <t xml:space="preserve">Aplicación agroquímicos </t>
  </si>
  <si>
    <t xml:space="preserve">Eliminación de hermanos </t>
  </si>
  <si>
    <t>Definición hijo sucesor</t>
  </si>
  <si>
    <t>Encintado y embolsado</t>
  </si>
  <si>
    <t>Control manual  de malezas</t>
  </si>
  <si>
    <t xml:space="preserve">Encintado y embolse </t>
  </si>
  <si>
    <t>metros</t>
  </si>
  <si>
    <t xml:space="preserve">Mantenimiento de gavetas </t>
  </si>
  <si>
    <t>Distribución de plantas</t>
  </si>
  <si>
    <t>Glifosato</t>
  </si>
  <si>
    <t>Bolsas para racimo</t>
  </si>
  <si>
    <t>Merma en campo</t>
  </si>
  <si>
    <t>Racimos totales</t>
  </si>
  <si>
    <t xml:space="preserve">Precio promedio kg de plátano </t>
  </si>
  <si>
    <t>Precio kg (Colones)</t>
  </si>
  <si>
    <t>Cajas/ha primera cosecha</t>
  </si>
  <si>
    <t>Cajas/ha segunda cosecha</t>
  </si>
  <si>
    <t>Mercado nacional</t>
  </si>
  <si>
    <t>Mercado de exportación</t>
  </si>
  <si>
    <t>Cajas anuales por hectárea</t>
  </si>
  <si>
    <t>Ingresos anuales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</si>
</sst>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#,##0.00_ ;\-#,##0.00\ "/>
    <numFmt numFmtId="167" formatCode="#,##0;\(#,##0\)"/>
    <numFmt numFmtId="168" formatCode="0.0%"/>
    <numFmt numFmtId="169" formatCode="#,##0_ ;[Red]\-#,##0\ "/>
    <numFmt numFmtId="170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3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0" fillId="0" borderId="1" xfId="0" applyBorder="1"/>
    <xf numFmtId="9" fontId="0" fillId="0" borderId="0" xfId="2" applyFont="1"/>
    <xf numFmtId="0" fontId="0" fillId="0" borderId="2" xfId="0" applyBorder="1"/>
    <xf numFmtId="0" fontId="0" fillId="0" borderId="0" xfId="0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2" fontId="4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horizontal="left" vertical="top" wrapText="1"/>
    </xf>
    <xf numFmtId="2" fontId="4" fillId="0" borderId="0" xfId="0" applyNumberFormat="1" applyFont="1"/>
    <xf numFmtId="2" fontId="4" fillId="0" borderId="0" xfId="0" applyNumberFormat="1" applyFont="1" applyAlignment="1">
      <alignment vertical="center"/>
    </xf>
    <xf numFmtId="2" fontId="4" fillId="0" borderId="5" xfId="0" applyNumberFormat="1" applyFont="1" applyBorder="1" applyAlignment="1">
      <alignment horizontal="left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left" vertical="center" wrapText="1"/>
    </xf>
    <xf numFmtId="16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43" fontId="4" fillId="0" borderId="5" xfId="1" applyFont="1" applyFill="1" applyBorder="1" applyAlignment="1" applyProtection="1">
      <alignment horizontal="right" vertical="center" wrapText="1"/>
      <protection locked="0"/>
    </xf>
    <xf numFmtId="2" fontId="4" fillId="0" borderId="1" xfId="0" applyNumberFormat="1" applyFont="1" applyBorder="1"/>
    <xf numFmtId="164" fontId="4" fillId="0" borderId="1" xfId="1" applyNumberFormat="1" applyFont="1" applyFill="1" applyBorder="1" applyAlignment="1" applyProtection="1">
      <alignment horizontal="center"/>
      <protection locked="0"/>
    </xf>
    <xf numFmtId="2" fontId="4" fillId="0" borderId="10" xfId="0" applyNumberFormat="1" applyFont="1" applyBorder="1"/>
    <xf numFmtId="164" fontId="4" fillId="0" borderId="10" xfId="1" applyNumberFormat="1" applyFont="1" applyFill="1" applyBorder="1" applyProtection="1">
      <protection locked="0"/>
    </xf>
    <xf numFmtId="164" fontId="4" fillId="0" borderId="0" xfId="1" applyNumberFormat="1" applyFont="1" applyFill="1"/>
    <xf numFmtId="164" fontId="4" fillId="0" borderId="0" xfId="1" applyNumberFormat="1" applyFont="1" applyFill="1" applyBorder="1" applyProtection="1">
      <protection locked="0"/>
    </xf>
    <xf numFmtId="2" fontId="4" fillId="0" borderId="2" xfId="0" applyNumberFormat="1" applyFont="1" applyBorder="1"/>
    <xf numFmtId="164" fontId="4" fillId="0" borderId="2" xfId="1" applyNumberFormat="1" applyFont="1" applyFill="1" applyBorder="1" applyProtection="1">
      <protection locked="0"/>
    </xf>
    <xf numFmtId="2" fontId="4" fillId="0" borderId="3" xfId="0" applyNumberFormat="1" applyFont="1" applyBorder="1"/>
    <xf numFmtId="43" fontId="4" fillId="0" borderId="3" xfId="1" applyFont="1" applyFill="1" applyBorder="1"/>
    <xf numFmtId="2" fontId="4" fillId="0" borderId="4" xfId="0" applyNumberFormat="1" applyFont="1" applyBorder="1"/>
    <xf numFmtId="0" fontId="4" fillId="0" borderId="0" xfId="0" applyFont="1"/>
    <xf numFmtId="165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1" applyNumberFormat="1" applyFont="1"/>
    <xf numFmtId="164" fontId="0" fillId="0" borderId="0" xfId="0" applyNumberFormat="1"/>
    <xf numFmtId="164" fontId="0" fillId="0" borderId="3" xfId="0" applyNumberFormat="1" applyBorder="1"/>
    <xf numFmtId="3" fontId="4" fillId="0" borderId="5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166" fontId="0" fillId="0" borderId="0" xfId="0" applyNumberFormat="1"/>
    <xf numFmtId="43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164" fontId="0" fillId="0" borderId="0" xfId="1" applyNumberFormat="1" applyFont="1" applyAlignment="1">
      <alignment vertical="center" wrapText="1"/>
    </xf>
    <xf numFmtId="0" fontId="0" fillId="0" borderId="3" xfId="0" applyBorder="1" applyAlignment="1">
      <alignment vertical="center" wrapText="1"/>
    </xf>
    <xf numFmtId="167" fontId="0" fillId="0" borderId="0" xfId="0" applyNumberFormat="1"/>
    <xf numFmtId="167" fontId="0" fillId="0" borderId="0" xfId="1" applyNumberFormat="1" applyFont="1"/>
    <xf numFmtId="164" fontId="0" fillId="0" borderId="1" xfId="1" applyNumberFormat="1" applyFont="1" applyBorder="1"/>
    <xf numFmtId="167" fontId="0" fillId="0" borderId="1" xfId="0" applyNumberFormat="1" applyBorder="1"/>
    <xf numFmtId="167" fontId="0" fillId="0" borderId="1" xfId="1" applyNumberFormat="1" applyFont="1" applyBorder="1"/>
    <xf numFmtId="167" fontId="0" fillId="0" borderId="0" xfId="1" applyNumberFormat="1" applyFont="1" applyBorder="1"/>
    <xf numFmtId="167" fontId="0" fillId="0" borderId="3" xfId="1" applyNumberFormat="1" applyFont="1" applyBorder="1"/>
    <xf numFmtId="168" fontId="2" fillId="0" borderId="0" xfId="2" applyNumberFormat="1" applyFont="1"/>
    <xf numFmtId="169" fontId="2" fillId="0" borderId="0" xfId="0" applyNumberFormat="1" applyFont="1"/>
    <xf numFmtId="9" fontId="2" fillId="0" borderId="0" xfId="2" applyFont="1"/>
    <xf numFmtId="4" fontId="0" fillId="0" borderId="0" xfId="0" applyNumberFormat="1"/>
    <xf numFmtId="0" fontId="2" fillId="0" borderId="1" xfId="0" applyFont="1" applyBorder="1"/>
    <xf numFmtId="4" fontId="0" fillId="0" borderId="2" xfId="0" applyNumberFormat="1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0" fillId="0" borderId="1" xfId="0" applyNumberFormat="1" applyBorder="1"/>
    <xf numFmtId="4" fontId="0" fillId="0" borderId="12" xfId="0" applyNumberFormat="1" applyBorder="1"/>
    <xf numFmtId="4" fontId="2" fillId="0" borderId="12" xfId="0" applyNumberFormat="1" applyFont="1" applyBorder="1"/>
    <xf numFmtId="4" fontId="0" fillId="0" borderId="11" xfId="0" applyNumberFormat="1" applyBorder="1"/>
    <xf numFmtId="0" fontId="2" fillId="0" borderId="12" xfId="0" applyFont="1" applyBorder="1"/>
    <xf numFmtId="4" fontId="0" fillId="0" borderId="10" xfId="0" applyNumberFormat="1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0" fillId="0" borderId="15" xfId="0" applyBorder="1"/>
    <xf numFmtId="4" fontId="2" fillId="0" borderId="0" xfId="0" applyNumberFormat="1" applyFont="1"/>
    <xf numFmtId="4" fontId="2" fillId="0" borderId="11" xfId="0" applyNumberFormat="1" applyFont="1" applyBorder="1"/>
    <xf numFmtId="4" fontId="0" fillId="0" borderId="0" xfId="0" applyNumberFormat="1" applyAlignment="1">
      <alignment horizontal="center"/>
    </xf>
    <xf numFmtId="4" fontId="2" fillId="0" borderId="1" xfId="0" applyNumberFormat="1" applyFont="1" applyBorder="1"/>
    <xf numFmtId="9" fontId="0" fillId="0" borderId="0" xfId="0" applyNumberFormat="1"/>
    <xf numFmtId="2" fontId="0" fillId="0" borderId="0" xfId="0" applyNumberFormat="1"/>
    <xf numFmtId="10" fontId="0" fillId="0" borderId="0" xfId="2" applyNumberFormat="1" applyFont="1"/>
    <xf numFmtId="10" fontId="0" fillId="0" borderId="0" xfId="0" applyNumberFormat="1"/>
    <xf numFmtId="0" fontId="2" fillId="0" borderId="3" xfId="0" applyFont="1" applyBorder="1"/>
    <xf numFmtId="167" fontId="2" fillId="0" borderId="3" xfId="0" applyNumberFormat="1" applyFont="1" applyBorder="1"/>
    <xf numFmtId="167" fontId="2" fillId="0" borderId="3" xfId="1" applyNumberFormat="1" applyFont="1" applyBorder="1"/>
    <xf numFmtId="164" fontId="2" fillId="0" borderId="3" xfId="1" applyNumberFormat="1" applyFont="1" applyBorder="1"/>
    <xf numFmtId="2" fontId="2" fillId="0" borderId="1" xfId="0" applyNumberFormat="1" applyFont="1" applyBorder="1"/>
    <xf numFmtId="2" fontId="2" fillId="0" borderId="12" xfId="0" applyNumberFormat="1" applyFont="1" applyBorder="1"/>
    <xf numFmtId="0" fontId="6" fillId="0" borderId="0" xfId="0" applyFont="1"/>
    <xf numFmtId="0" fontId="6" fillId="0" borderId="3" xfId="0" applyFont="1" applyBorder="1"/>
    <xf numFmtId="0" fontId="7" fillId="0" borderId="1" xfId="0" applyFont="1" applyBorder="1"/>
    <xf numFmtId="10" fontId="2" fillId="0" borderId="0" xfId="2" applyNumberFormat="1" applyFont="1"/>
    <xf numFmtId="1" fontId="0" fillId="0" borderId="0" xfId="0" applyNumberForma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" fontId="2" fillId="0" borderId="12" xfId="0" applyNumberFormat="1" applyFont="1" applyBorder="1" applyAlignment="1">
      <alignment horizontal="right"/>
    </xf>
    <xf numFmtId="0" fontId="2" fillId="0" borderId="12" xfId="0" applyFont="1" applyBorder="1" applyAlignment="1">
      <alignment horizontal="center"/>
    </xf>
    <xf numFmtId="167" fontId="2" fillId="0" borderId="3" xfId="1" applyNumberFormat="1" applyFont="1" applyFill="1" applyBorder="1"/>
    <xf numFmtId="9" fontId="0" fillId="0" borderId="0" xfId="2" applyFont="1" applyFill="1"/>
    <xf numFmtId="0" fontId="0" fillId="0" borderId="0" xfId="2" applyNumberFormat="1" applyFont="1" applyFill="1"/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164" fontId="0" fillId="0" borderId="0" xfId="2" applyNumberFormat="1" applyFont="1"/>
    <xf numFmtId="0" fontId="2" fillId="0" borderId="0" xfId="0" applyFont="1" applyAlignment="1">
      <alignment horizontal="center"/>
    </xf>
    <xf numFmtId="0" fontId="8" fillId="0" borderId="0" xfId="0" applyFont="1"/>
    <xf numFmtId="9" fontId="0" fillId="0" borderId="0" xfId="0" applyNumberFormat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16" xfId="0" applyFont="1" applyBorder="1"/>
    <xf numFmtId="3" fontId="0" fillId="0" borderId="2" xfId="0" applyNumberFormat="1" applyBorder="1"/>
    <xf numFmtId="3" fontId="0" fillId="0" borderId="0" xfId="0" applyNumberFormat="1"/>
    <xf numFmtId="3" fontId="2" fillId="0" borderId="1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/>
    <xf numFmtId="3" fontId="2" fillId="0" borderId="12" xfId="0" applyNumberFormat="1" applyFont="1" applyBorder="1"/>
    <xf numFmtId="3" fontId="0" fillId="0" borderId="3" xfId="1" applyNumberFormat="1" applyFont="1" applyBorder="1"/>
    <xf numFmtId="4" fontId="0" fillId="0" borderId="3" xfId="0" applyNumberFormat="1" applyBorder="1" applyAlignment="1">
      <alignment horizontal="center"/>
    </xf>
    <xf numFmtId="1" fontId="9" fillId="0" borderId="0" xfId="0" applyNumberFormat="1" applyFont="1"/>
    <xf numFmtId="1" fontId="8" fillId="0" borderId="0" xfId="0" applyNumberFormat="1" applyFont="1"/>
    <xf numFmtId="4" fontId="8" fillId="0" borderId="0" xfId="0" applyNumberFormat="1" applyFont="1"/>
    <xf numFmtId="0" fontId="8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left"/>
    </xf>
    <xf numFmtId="4" fontId="2" fillId="0" borderId="16" xfId="0" applyNumberFormat="1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10" fillId="0" borderId="0" xfId="0" applyNumberFormat="1" applyFont="1" applyAlignment="1">
      <alignment vertical="center" wrapText="1"/>
    </xf>
    <xf numFmtId="2" fontId="10" fillId="0" borderId="0" xfId="0" applyNumberFormat="1" applyFont="1" applyAlignment="1">
      <alignment vertical="center"/>
    </xf>
  </cellXfs>
  <cellStyles count="4">
    <cellStyle name="Millares" xfId="1" builtinId="3"/>
    <cellStyle name="Millares 2" xfId="3" xr:uid="{E412EFF3-2AD0-433B-ABAF-3C90A6AF59E3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Precio Promedio Kilo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numLit>
          </c:cat>
          <c:val>
            <c:numLit>
              <c:formatCode>General</c:formatCode>
              <c:ptCount val="6"/>
              <c:pt idx="0">
                <c:v>0.74360022145605442</c:v>
              </c:pt>
              <c:pt idx="1">
                <c:v>0.77515600990122457</c:v>
              </c:pt>
              <c:pt idx="2">
                <c:v>1.4795009380128641</c:v>
              </c:pt>
              <c:pt idx="3">
                <c:v>1.280490470354408</c:v>
              </c:pt>
              <c:pt idx="4">
                <c:v>1.1037633449973729</c:v>
              </c:pt>
              <c:pt idx="5">
                <c:v>1.5091325181587387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773-466D-88CB-847E305C3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8403792"/>
        <c:axId val="1908406192"/>
      </c:lineChart>
      <c:catAx>
        <c:axId val="1908403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Año</a:t>
                </a:r>
              </a:p>
            </c:rich>
          </c:tx>
          <c:layout>
            <c:manualLayout>
              <c:xMode val="edge"/>
              <c:yMode val="edge"/>
              <c:x val="0.38276251203223743"/>
              <c:y val="0.846963938250887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908406192"/>
        <c:crosses val="autoZero"/>
        <c:auto val="1"/>
        <c:lblAlgn val="ctr"/>
        <c:lblOffset val="100"/>
        <c:noMultiLvlLbl val="0"/>
      </c:catAx>
      <c:valAx>
        <c:axId val="190840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Precio US$ Kilos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908403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19050</xdr:rowOff>
    </xdr:from>
    <xdr:to>
      <xdr:col>8</xdr:col>
      <xdr:colOff>0</xdr:colOff>
      <xdr:row>40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7CA094-2E98-43BB-9E4B-0197C286F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B68F9-03F6-461C-8B24-A013762E5474}">
  <dimension ref="A1:G36"/>
  <sheetViews>
    <sheetView showGridLines="0" zoomScale="80" zoomScaleNormal="80" workbookViewId="0">
      <selection activeCell="G15" sqref="G15"/>
    </sheetView>
  </sheetViews>
  <sheetFormatPr baseColWidth="10" defaultRowHeight="14.5" x14ac:dyDescent="0.35"/>
  <cols>
    <col min="1" max="1" width="31.1796875" customWidth="1"/>
    <col min="3" max="3" width="41.7265625" customWidth="1"/>
    <col min="8" max="8" width="19" bestFit="1" customWidth="1"/>
  </cols>
  <sheetData>
    <row r="1" spans="1:7" x14ac:dyDescent="0.35">
      <c r="A1" s="1" t="s">
        <v>0</v>
      </c>
    </row>
    <row r="2" spans="1:7" x14ac:dyDescent="0.35">
      <c r="A2" t="s">
        <v>10</v>
      </c>
    </row>
    <row r="3" spans="1:7" x14ac:dyDescent="0.35">
      <c r="A3" t="s">
        <v>1</v>
      </c>
    </row>
    <row r="4" spans="1:7" x14ac:dyDescent="0.35">
      <c r="A4" t="s">
        <v>2</v>
      </c>
    </row>
    <row r="6" spans="1:7" x14ac:dyDescent="0.35">
      <c r="A6" s="2" t="s">
        <v>3</v>
      </c>
      <c r="B6" s="2" t="s">
        <v>156</v>
      </c>
      <c r="C6" s="2" t="s">
        <v>5</v>
      </c>
    </row>
    <row r="7" spans="1:7" x14ac:dyDescent="0.35">
      <c r="A7" t="s">
        <v>15</v>
      </c>
      <c r="B7">
        <v>460.51</v>
      </c>
      <c r="C7" t="s">
        <v>218</v>
      </c>
    </row>
    <row r="8" spans="1:7" x14ac:dyDescent="0.35">
      <c r="A8" t="s">
        <v>237</v>
      </c>
      <c r="B8">
        <v>250</v>
      </c>
      <c r="C8" t="s">
        <v>236</v>
      </c>
    </row>
    <row r="9" spans="1:7" x14ac:dyDescent="0.35">
      <c r="A9" t="s">
        <v>146</v>
      </c>
      <c r="B9">
        <v>14.5</v>
      </c>
      <c r="C9" t="s">
        <v>145</v>
      </c>
    </row>
    <row r="10" spans="1:7" x14ac:dyDescent="0.35">
      <c r="A10" t="s">
        <v>146</v>
      </c>
      <c r="B10" s="76">
        <f>(B8*B16)/B7</f>
        <v>12.486156652407114</v>
      </c>
      <c r="C10" t="s">
        <v>147</v>
      </c>
    </row>
    <row r="11" spans="1:7" x14ac:dyDescent="0.35">
      <c r="A11" t="s">
        <v>84</v>
      </c>
      <c r="B11">
        <v>3000</v>
      </c>
      <c r="C11" t="s">
        <v>149</v>
      </c>
    </row>
    <row r="12" spans="1:7" x14ac:dyDescent="0.35">
      <c r="A12" t="s">
        <v>234</v>
      </c>
      <c r="B12" s="98">
        <v>0.08</v>
      </c>
      <c r="C12" t="s">
        <v>152</v>
      </c>
    </row>
    <row r="13" spans="1:7" x14ac:dyDescent="0.35">
      <c r="A13" t="s">
        <v>235</v>
      </c>
      <c r="B13">
        <f>+B11-(B11*B12)</f>
        <v>2760</v>
      </c>
      <c r="G13" s="89"/>
    </row>
    <row r="14" spans="1:7" x14ac:dyDescent="0.35">
      <c r="A14" t="s">
        <v>86</v>
      </c>
      <c r="B14">
        <v>2</v>
      </c>
      <c r="C14" t="s">
        <v>153</v>
      </c>
    </row>
    <row r="15" spans="1:7" x14ac:dyDescent="0.35">
      <c r="A15" t="s">
        <v>85</v>
      </c>
      <c r="B15">
        <v>1</v>
      </c>
      <c r="C15" t="s">
        <v>151</v>
      </c>
    </row>
    <row r="16" spans="1:7" x14ac:dyDescent="0.35">
      <c r="A16" t="s">
        <v>208</v>
      </c>
      <c r="B16" s="99">
        <v>23</v>
      </c>
    </row>
    <row r="17" spans="1:3" x14ac:dyDescent="0.35">
      <c r="A17" t="s">
        <v>81</v>
      </c>
      <c r="B17" s="3">
        <v>0.5</v>
      </c>
    </row>
    <row r="18" spans="1:3" x14ac:dyDescent="0.35">
      <c r="A18" t="s">
        <v>82</v>
      </c>
      <c r="B18" s="3">
        <v>0.04</v>
      </c>
      <c r="C18" t="s">
        <v>150</v>
      </c>
    </row>
    <row r="19" spans="1:3" x14ac:dyDescent="0.35">
      <c r="A19" t="s">
        <v>83</v>
      </c>
      <c r="B19" s="3">
        <v>0.3</v>
      </c>
      <c r="C19" t="s">
        <v>148</v>
      </c>
    </row>
    <row r="20" spans="1:3" x14ac:dyDescent="0.35">
      <c r="A20" t="s">
        <v>154</v>
      </c>
      <c r="B20">
        <v>525</v>
      </c>
      <c r="C20" t="s">
        <v>155</v>
      </c>
    </row>
    <row r="21" spans="1:3" x14ac:dyDescent="0.35">
      <c r="A21" t="s">
        <v>138</v>
      </c>
      <c r="B21" s="75">
        <v>0.02</v>
      </c>
    </row>
    <row r="22" spans="1:3" x14ac:dyDescent="0.35">
      <c r="A22" t="s">
        <v>141</v>
      </c>
      <c r="B22" s="75">
        <v>0.2</v>
      </c>
    </row>
    <row r="23" spans="1:3" x14ac:dyDescent="0.35">
      <c r="A23" t="s">
        <v>6</v>
      </c>
      <c r="B23" s="3">
        <v>0.12</v>
      </c>
      <c r="C23" t="s">
        <v>7</v>
      </c>
    </row>
    <row r="24" spans="1:3" x14ac:dyDescent="0.35">
      <c r="A24" s="4" t="s">
        <v>8</v>
      </c>
      <c r="B24" s="4">
        <v>10</v>
      </c>
      <c r="C24" s="4" t="s">
        <v>9</v>
      </c>
    </row>
    <row r="27" spans="1:3" x14ac:dyDescent="0.35">
      <c r="A27" s="53" t="s">
        <v>66</v>
      </c>
      <c r="B27" s="57" t="s">
        <v>129</v>
      </c>
      <c r="C27" s="57" t="s">
        <v>130</v>
      </c>
    </row>
    <row r="28" spans="1:3" x14ac:dyDescent="0.35">
      <c r="A28" t="s">
        <v>131</v>
      </c>
      <c r="B28" s="5">
        <v>20</v>
      </c>
      <c r="C28" s="107">
        <v>0</v>
      </c>
    </row>
    <row r="29" spans="1:3" x14ac:dyDescent="0.35">
      <c r="A29" t="s">
        <v>132</v>
      </c>
      <c r="B29" s="5">
        <v>10</v>
      </c>
      <c r="C29" s="107">
        <v>0</v>
      </c>
    </row>
    <row r="30" spans="1:3" x14ac:dyDescent="0.35">
      <c r="A30" s="4" t="s">
        <v>133</v>
      </c>
      <c r="B30" s="109">
        <v>5</v>
      </c>
      <c r="C30" s="108">
        <v>0</v>
      </c>
    </row>
    <row r="34" spans="1:2" x14ac:dyDescent="0.35">
      <c r="A34" s="90"/>
      <c r="B34" s="75"/>
    </row>
    <row r="35" spans="1:2" x14ac:dyDescent="0.35">
      <c r="A35" s="90"/>
      <c r="B35" s="75"/>
    </row>
    <row r="36" spans="1:2" x14ac:dyDescent="0.35">
      <c r="A36" s="9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0BAA3-56E1-4C82-96B5-3FC80050E45C}">
  <dimension ref="A1:I113"/>
  <sheetViews>
    <sheetView showGridLines="0" zoomScale="90" zoomScaleNormal="90" workbookViewId="0">
      <selection activeCell="B6" sqref="B6"/>
    </sheetView>
  </sheetViews>
  <sheetFormatPr baseColWidth="10" defaultRowHeight="14.5" x14ac:dyDescent="0.35"/>
  <cols>
    <col min="1" max="1" width="25.90625" customWidth="1"/>
    <col min="2" max="2" width="15.90625" style="5" customWidth="1"/>
    <col min="3" max="3" width="12.453125" customWidth="1"/>
    <col min="4" max="4" width="13.90625" customWidth="1"/>
    <col min="5" max="5" width="13.08984375" bestFit="1" customWidth="1"/>
    <col min="6" max="7" width="18" bestFit="1" customWidth="1"/>
    <col min="9" max="9" width="12.08984375" bestFit="1" customWidth="1"/>
  </cols>
  <sheetData>
    <row r="1" spans="1:4" x14ac:dyDescent="0.35">
      <c r="A1" s="1" t="s">
        <v>127</v>
      </c>
    </row>
    <row r="2" spans="1:4" x14ac:dyDescent="0.35">
      <c r="A2" t="s">
        <v>10</v>
      </c>
    </row>
    <row r="3" spans="1:4" x14ac:dyDescent="0.35">
      <c r="A3" t="s">
        <v>125</v>
      </c>
    </row>
    <row r="4" spans="1:4" x14ac:dyDescent="0.35">
      <c r="A4" t="s">
        <v>171</v>
      </c>
    </row>
    <row r="6" spans="1:4" x14ac:dyDescent="0.35">
      <c r="A6" s="66" t="s">
        <v>94</v>
      </c>
      <c r="B6" s="67">
        <v>60</v>
      </c>
    </row>
    <row r="8" spans="1:4" x14ac:dyDescent="0.35">
      <c r="A8" s="87" t="s">
        <v>11</v>
      </c>
      <c r="B8" s="57" t="s">
        <v>209</v>
      </c>
      <c r="C8" s="91" t="s">
        <v>50</v>
      </c>
    </row>
    <row r="9" spans="1:4" x14ac:dyDescent="0.35">
      <c r="A9" s="85" t="s">
        <v>88</v>
      </c>
      <c r="B9" s="73">
        <f>+G38</f>
        <v>284142.30015025014</v>
      </c>
      <c r="C9" s="93">
        <f>+G92</f>
        <v>322070.22271522874</v>
      </c>
    </row>
    <row r="10" spans="1:4" x14ac:dyDescent="0.35">
      <c r="A10" s="85" t="s">
        <v>96</v>
      </c>
      <c r="B10" s="73">
        <f>+G51</f>
        <v>336883.01665544725</v>
      </c>
      <c r="C10" s="93">
        <f>+G106</f>
        <v>146724.27960304881</v>
      </c>
    </row>
    <row r="11" spans="1:4" x14ac:dyDescent="0.35">
      <c r="A11" s="85" t="s">
        <v>37</v>
      </c>
      <c r="B11" s="73">
        <f>+G55</f>
        <v>2419.5331263164753</v>
      </c>
      <c r="C11" s="94">
        <f>+G113</f>
        <v>18938.622940877725</v>
      </c>
    </row>
    <row r="12" spans="1:4" x14ac:dyDescent="0.35">
      <c r="A12" s="85" t="s">
        <v>103</v>
      </c>
      <c r="B12" s="73">
        <f>+G62</f>
        <v>13680.484680028665</v>
      </c>
      <c r="C12" s="92" t="s">
        <v>210</v>
      </c>
    </row>
    <row r="13" spans="1:4" x14ac:dyDescent="0.35">
      <c r="A13" s="85" t="s">
        <v>115</v>
      </c>
      <c r="B13" s="73">
        <f>+D73/Supuestos!B7</f>
        <v>2117.2178671472934</v>
      </c>
      <c r="C13" s="92" t="s">
        <v>210</v>
      </c>
    </row>
    <row r="14" spans="1:4" x14ac:dyDescent="0.35">
      <c r="A14" s="85" t="s">
        <v>110</v>
      </c>
      <c r="B14" s="73">
        <f>+G65</f>
        <v>52116.13211439491</v>
      </c>
      <c r="C14" s="94">
        <f>+G64</f>
        <v>52116.13211439491</v>
      </c>
    </row>
    <row r="15" spans="1:4" ht="15" thickBot="1" x14ac:dyDescent="0.4">
      <c r="A15" s="86" t="s">
        <v>219</v>
      </c>
      <c r="B15" s="118">
        <f>+SUM(B9:B14)</f>
        <v>691358.68459358474</v>
      </c>
      <c r="C15" s="103">
        <f>+SUM(C9:C14)</f>
        <v>539849.25737355021</v>
      </c>
    </row>
    <row r="16" spans="1:4" ht="15" thickTop="1" x14ac:dyDescent="0.35">
      <c r="A16" s="110" t="s">
        <v>205</v>
      </c>
      <c r="B16" s="124">
        <f>+B15+C15</f>
        <v>1231207.9419671348</v>
      </c>
      <c r="C16" s="124"/>
      <c r="D16" s="52"/>
    </row>
    <row r="17" spans="1:9" x14ac:dyDescent="0.35">
      <c r="C17" s="52"/>
    </row>
    <row r="18" spans="1:9" ht="16" x14ac:dyDescent="0.4">
      <c r="A18" s="126" t="s">
        <v>222</v>
      </c>
      <c r="B18" s="126"/>
      <c r="C18" s="126"/>
      <c r="D18" s="126"/>
      <c r="E18" s="126"/>
      <c r="F18" s="126"/>
      <c r="G18" s="126"/>
    </row>
    <row r="19" spans="1:9" x14ac:dyDescent="0.35">
      <c r="A19" s="129" t="s">
        <v>88</v>
      </c>
      <c r="B19" s="129"/>
      <c r="C19" s="129"/>
      <c r="D19" s="129"/>
      <c r="E19" s="129"/>
      <c r="F19" s="129"/>
      <c r="G19" s="129"/>
    </row>
    <row r="20" spans="1:9" x14ac:dyDescent="0.35">
      <c r="A20" s="53" t="s">
        <v>11</v>
      </c>
      <c r="B20" s="57" t="s">
        <v>19</v>
      </c>
      <c r="C20" s="53" t="s">
        <v>91</v>
      </c>
      <c r="D20" s="53" t="s">
        <v>92</v>
      </c>
      <c r="E20" s="57" t="s">
        <v>87</v>
      </c>
      <c r="F20" s="57" t="s">
        <v>101</v>
      </c>
      <c r="G20" s="57" t="s">
        <v>95</v>
      </c>
    </row>
    <row r="21" spans="1:9" x14ac:dyDescent="0.35">
      <c r="A21" t="s">
        <v>175</v>
      </c>
      <c r="B21" s="5" t="s">
        <v>179</v>
      </c>
      <c r="C21" s="52">
        <v>40</v>
      </c>
      <c r="D21" s="52">
        <f>12436.41/8</f>
        <v>1554.55125</v>
      </c>
      <c r="E21" s="52">
        <f>+C21*D21</f>
        <v>62182.05</v>
      </c>
      <c r="F21" s="52">
        <f>+E21*$B$6</f>
        <v>3730923</v>
      </c>
      <c r="G21" s="52">
        <f>+F21/Supuestos!$B$7</f>
        <v>8101.719832359775</v>
      </c>
      <c r="I21" s="89"/>
    </row>
    <row r="22" spans="1:9" x14ac:dyDescent="0.35">
      <c r="A22" t="s">
        <v>176</v>
      </c>
      <c r="B22" s="5" t="s">
        <v>179</v>
      </c>
      <c r="C22" s="52">
        <v>8</v>
      </c>
      <c r="D22" s="52">
        <f t="shared" ref="D22:D34" si="0">12436.41/8</f>
        <v>1554.55125</v>
      </c>
      <c r="E22" s="52">
        <f t="shared" ref="E22:E35" si="1">+C22*D22</f>
        <v>12436.41</v>
      </c>
      <c r="F22" s="52">
        <f t="shared" ref="F22:F35" si="2">+E22*$B$6</f>
        <v>746184.6</v>
      </c>
      <c r="G22" s="52">
        <f>+F22/Supuestos!$B$7</f>
        <v>1620.3439664719549</v>
      </c>
    </row>
    <row r="23" spans="1:9" x14ac:dyDescent="0.35">
      <c r="A23" t="s">
        <v>177</v>
      </c>
      <c r="B23" s="5" t="s">
        <v>179</v>
      </c>
      <c r="C23" s="52">
        <v>40</v>
      </c>
      <c r="D23" s="52">
        <f t="shared" si="0"/>
        <v>1554.55125</v>
      </c>
      <c r="E23" s="52">
        <f t="shared" si="1"/>
        <v>62182.05</v>
      </c>
      <c r="F23" s="52">
        <f t="shared" si="2"/>
        <v>3730923</v>
      </c>
      <c r="G23" s="52">
        <f>+F23/Supuestos!$B$7</f>
        <v>8101.719832359775</v>
      </c>
      <c r="I23" s="52"/>
    </row>
    <row r="24" spans="1:9" x14ac:dyDescent="0.35">
      <c r="A24" t="s">
        <v>231</v>
      </c>
      <c r="B24" s="5" t="s">
        <v>179</v>
      </c>
      <c r="C24" s="52">
        <v>10</v>
      </c>
      <c r="D24" s="52">
        <f t="shared" si="0"/>
        <v>1554.55125</v>
      </c>
      <c r="E24" s="52">
        <f t="shared" si="1"/>
        <v>15545.512500000001</v>
      </c>
      <c r="F24" s="52">
        <f t="shared" si="2"/>
        <v>932730.75</v>
      </c>
      <c r="G24" s="52">
        <f>+F24/Supuestos!$B$7</f>
        <v>2025.4299580899437</v>
      </c>
      <c r="I24" s="52"/>
    </row>
    <row r="25" spans="1:9" x14ac:dyDescent="0.35">
      <c r="A25" t="s">
        <v>178</v>
      </c>
      <c r="B25" s="5" t="s">
        <v>179</v>
      </c>
      <c r="C25" s="52">
        <v>120</v>
      </c>
      <c r="D25" s="52">
        <f t="shared" si="0"/>
        <v>1554.55125</v>
      </c>
      <c r="E25" s="52">
        <f t="shared" si="1"/>
        <v>186546.15</v>
      </c>
      <c r="F25" s="52">
        <f t="shared" si="2"/>
        <v>11192769</v>
      </c>
      <c r="G25" s="52">
        <f>+F25/Supuestos!$B$7</f>
        <v>24305.159497079327</v>
      </c>
    </row>
    <row r="26" spans="1:9" x14ac:dyDescent="0.35">
      <c r="A26" t="s">
        <v>223</v>
      </c>
      <c r="B26" s="5" t="s">
        <v>179</v>
      </c>
      <c r="C26" s="52">
        <v>8</v>
      </c>
      <c r="D26" s="52">
        <f t="shared" si="0"/>
        <v>1554.55125</v>
      </c>
      <c r="E26" s="52">
        <f>+C26*D26</f>
        <v>12436.41</v>
      </c>
      <c r="F26" s="52">
        <f t="shared" si="2"/>
        <v>746184.6</v>
      </c>
      <c r="G26" s="52">
        <f>+F26/Supuestos!$B$7</f>
        <v>1620.3439664719549</v>
      </c>
    </row>
    <row r="27" spans="1:9" x14ac:dyDescent="0.35">
      <c r="A27" t="s">
        <v>182</v>
      </c>
      <c r="B27" s="5" t="s">
        <v>179</v>
      </c>
      <c r="C27">
        <f>4*8</f>
        <v>32</v>
      </c>
      <c r="D27" s="52">
        <f t="shared" si="0"/>
        <v>1554.55125</v>
      </c>
      <c r="E27" s="52">
        <f>+C27*D27</f>
        <v>49745.64</v>
      </c>
      <c r="F27" s="52">
        <f t="shared" si="2"/>
        <v>2984738.4</v>
      </c>
      <c r="G27" s="52">
        <f>+F27/Supuestos!$B$7</f>
        <v>6481.3758658878196</v>
      </c>
    </row>
    <row r="28" spans="1:9" x14ac:dyDescent="0.35">
      <c r="A28" t="s">
        <v>184</v>
      </c>
      <c r="B28" s="5" t="s">
        <v>179</v>
      </c>
      <c r="C28">
        <v>8</v>
      </c>
      <c r="D28" s="52">
        <f t="shared" si="0"/>
        <v>1554.55125</v>
      </c>
      <c r="E28" s="52">
        <f t="shared" si="1"/>
        <v>12436.41</v>
      </c>
      <c r="F28" s="52">
        <f t="shared" si="2"/>
        <v>746184.6</v>
      </c>
      <c r="G28" s="52">
        <f>+F28/Supuestos!$B$7</f>
        <v>1620.3439664719549</v>
      </c>
    </row>
    <row r="29" spans="1:9" x14ac:dyDescent="0.35">
      <c r="A29" t="s">
        <v>185</v>
      </c>
      <c r="B29" s="5" t="s">
        <v>179</v>
      </c>
      <c r="C29" s="120">
        <f>+(3000*208)/3333</f>
        <v>187.21872187218722</v>
      </c>
      <c r="D29" s="52">
        <f t="shared" si="0"/>
        <v>1554.55125</v>
      </c>
      <c r="E29" s="52">
        <f t="shared" si="1"/>
        <v>291041.09810981096</v>
      </c>
      <c r="F29" s="52">
        <f t="shared" si="2"/>
        <v>17462465.886588659</v>
      </c>
      <c r="G29" s="52">
        <f>+F29/Supuestos!$B$7</f>
        <v>37919.840799523699</v>
      </c>
    </row>
    <row r="30" spans="1:9" x14ac:dyDescent="0.35">
      <c r="A30" t="s">
        <v>186</v>
      </c>
      <c r="B30" s="5" t="s">
        <v>179</v>
      </c>
      <c r="C30" s="120">
        <f>+(3000*104)/3333</f>
        <v>93.609360936093609</v>
      </c>
      <c r="D30" s="52">
        <f t="shared" si="0"/>
        <v>1554.55125</v>
      </c>
      <c r="E30" s="52">
        <f t="shared" si="1"/>
        <v>145520.54905490548</v>
      </c>
      <c r="F30" s="52">
        <f t="shared" si="2"/>
        <v>8731232.9432943296</v>
      </c>
      <c r="G30" s="52">
        <f>+F30/Supuestos!$B$7</f>
        <v>18959.92039976185</v>
      </c>
    </row>
    <row r="31" spans="1:9" x14ac:dyDescent="0.35">
      <c r="A31" t="s">
        <v>187</v>
      </c>
      <c r="B31" s="5" t="s">
        <v>179</v>
      </c>
      <c r="C31" s="119">
        <f>+(3000*140)/3333</f>
        <v>126.01260126012602</v>
      </c>
      <c r="D31" s="52">
        <f t="shared" si="0"/>
        <v>1554.55125</v>
      </c>
      <c r="E31" s="52">
        <f t="shared" si="1"/>
        <v>195893.04680468049</v>
      </c>
      <c r="F31" s="52">
        <f t="shared" si="2"/>
        <v>11753582.808280829</v>
      </c>
      <c r="G31" s="52">
        <f>+F31/Supuestos!$B$7</f>
        <v>25522.969768910185</v>
      </c>
    </row>
    <row r="32" spans="1:9" x14ac:dyDescent="0.35">
      <c r="A32" t="s">
        <v>188</v>
      </c>
      <c r="B32" s="5" t="s">
        <v>179</v>
      </c>
      <c r="C32">
        <v>64</v>
      </c>
      <c r="D32" s="52">
        <f t="shared" si="0"/>
        <v>1554.55125</v>
      </c>
      <c r="E32" s="52">
        <f t="shared" si="1"/>
        <v>99491.28</v>
      </c>
      <c r="F32" s="52">
        <f t="shared" si="2"/>
        <v>5969476.7999999998</v>
      </c>
      <c r="G32" s="52">
        <f>+F32/Supuestos!$B$7</f>
        <v>12962.751731775639</v>
      </c>
    </row>
    <row r="33" spans="1:7" x14ac:dyDescent="0.35">
      <c r="A33" t="s">
        <v>224</v>
      </c>
      <c r="B33" s="5" t="s">
        <v>179</v>
      </c>
      <c r="C33" s="89">
        <f>+(3000*56)/3333</f>
        <v>50.405040504050405</v>
      </c>
      <c r="D33" s="52">
        <f t="shared" si="0"/>
        <v>1554.55125</v>
      </c>
      <c r="E33" s="52">
        <f t="shared" si="1"/>
        <v>78357.218721872181</v>
      </c>
      <c r="F33" s="52">
        <f t="shared" si="2"/>
        <v>4701433.1233123308</v>
      </c>
      <c r="G33" s="52">
        <f>+F33/Supuestos!$B$7</f>
        <v>10209.187907564072</v>
      </c>
    </row>
    <row r="34" spans="1:7" x14ac:dyDescent="0.35">
      <c r="A34" t="s">
        <v>225</v>
      </c>
      <c r="B34" s="5" t="s">
        <v>179</v>
      </c>
      <c r="C34" s="89">
        <f>+(3000*40)/3333</f>
        <v>36.003600360036003</v>
      </c>
      <c r="D34" s="52">
        <f t="shared" si="0"/>
        <v>1554.55125</v>
      </c>
      <c r="E34" s="52">
        <f t="shared" si="1"/>
        <v>55969.441944194419</v>
      </c>
      <c r="F34" s="52">
        <f t="shared" si="2"/>
        <v>3358166.5166516653</v>
      </c>
      <c r="G34" s="52">
        <f>+F34/Supuestos!$B$7</f>
        <v>7292.2770768314813</v>
      </c>
    </row>
    <row r="35" spans="1:7" x14ac:dyDescent="0.35">
      <c r="A35" t="s">
        <v>226</v>
      </c>
      <c r="B35" s="5" t="s">
        <v>179</v>
      </c>
      <c r="C35">
        <v>112</v>
      </c>
      <c r="D35" s="52">
        <f>12436.41/8</f>
        <v>1554.55125</v>
      </c>
      <c r="E35" s="52">
        <f t="shared" si="1"/>
        <v>174109.74</v>
      </c>
      <c r="F35" s="52">
        <f t="shared" si="2"/>
        <v>10446584.399999999</v>
      </c>
      <c r="G35" s="52">
        <f>+F35/Supuestos!$B$7</f>
        <v>22684.815530607368</v>
      </c>
    </row>
    <row r="36" spans="1:7" x14ac:dyDescent="0.35">
      <c r="A36" s="2" t="s">
        <v>89</v>
      </c>
      <c r="B36" s="7"/>
      <c r="C36" s="2"/>
      <c r="D36" s="2"/>
      <c r="E36" s="2"/>
      <c r="F36" s="58">
        <f>+SUM(F21:F35)</f>
        <v>87233580.428127795</v>
      </c>
      <c r="G36" s="58">
        <f>+F36/Supuestos!$B$7</f>
        <v>189428.20010016675</v>
      </c>
    </row>
    <row r="37" spans="1:7" x14ac:dyDescent="0.35">
      <c r="A37" t="s">
        <v>81</v>
      </c>
      <c r="B37" s="5" t="s">
        <v>90</v>
      </c>
      <c r="C37">
        <f>+Supuestos!B17</f>
        <v>0.5</v>
      </c>
      <c r="E37" s="2"/>
      <c r="F37" s="58">
        <f>+F36*C37</f>
        <v>43616790.214063898</v>
      </c>
      <c r="G37" s="58">
        <f>+F37/Supuestos!$B$7</f>
        <v>94714.100050083376</v>
      </c>
    </row>
    <row r="38" spans="1:7" ht="15" thickBot="1" x14ac:dyDescent="0.4">
      <c r="A38" s="55"/>
      <c r="B38" s="56"/>
      <c r="C38" s="125" t="s">
        <v>93</v>
      </c>
      <c r="D38" s="125"/>
      <c r="F38" s="60">
        <f>+F36+F37</f>
        <v>130850370.64219169</v>
      </c>
      <c r="G38" s="72">
        <f>+F38/Supuestos!$B$7</f>
        <v>284142.30015025014</v>
      </c>
    </row>
    <row r="39" spans="1:7" x14ac:dyDescent="0.35">
      <c r="A39" s="128" t="s">
        <v>96</v>
      </c>
      <c r="B39" s="128"/>
      <c r="C39" s="128"/>
      <c r="D39" s="128"/>
      <c r="E39" s="128"/>
      <c r="F39" s="128"/>
    </row>
    <row r="40" spans="1:7" x14ac:dyDescent="0.35">
      <c r="A40" s="64" t="s">
        <v>99</v>
      </c>
      <c r="B40" s="65" t="s">
        <v>97</v>
      </c>
      <c r="C40" s="63">
        <v>3100</v>
      </c>
      <c r="D40" s="63">
        <f>+Supuestos!B20</f>
        <v>525</v>
      </c>
      <c r="E40" s="63">
        <f>+C40*D40</f>
        <v>1627500</v>
      </c>
      <c r="F40" s="63">
        <f>+E40*$B$6</f>
        <v>97650000</v>
      </c>
      <c r="G40" s="63">
        <f>+F40/Supuestos!$B$7</f>
        <v>212047.5125404443</v>
      </c>
    </row>
    <row r="41" spans="1:7" x14ac:dyDescent="0.35">
      <c r="A41" t="s">
        <v>193</v>
      </c>
      <c r="B41" s="5" t="s">
        <v>16</v>
      </c>
      <c r="C41" s="52">
        <v>90</v>
      </c>
      <c r="D41" s="52">
        <f>+(28950/45)</f>
        <v>643.33333333333337</v>
      </c>
      <c r="E41" s="52">
        <f t="shared" ref="E41:E50" si="3">+C41*D41</f>
        <v>57900</v>
      </c>
      <c r="F41" s="52">
        <f t="shared" ref="F41:F50" si="4">+E41*$B$6</f>
        <v>3474000</v>
      </c>
      <c r="G41" s="52">
        <f>+F41/Supuestos!$B$7</f>
        <v>7543.8101235586637</v>
      </c>
    </row>
    <row r="42" spans="1:7" x14ac:dyDescent="0.35">
      <c r="A42" t="s">
        <v>194</v>
      </c>
      <c r="B42" s="5" t="s">
        <v>16</v>
      </c>
      <c r="C42" s="52">
        <v>270</v>
      </c>
      <c r="D42" s="52">
        <f>15175/45</f>
        <v>337.22222222222223</v>
      </c>
      <c r="E42" s="52">
        <f t="shared" si="3"/>
        <v>91050</v>
      </c>
      <c r="F42" s="52">
        <f t="shared" si="4"/>
        <v>5463000</v>
      </c>
      <c r="G42" s="52">
        <f>+F42/Supuestos!$B$7</f>
        <v>11862.934572539141</v>
      </c>
    </row>
    <row r="43" spans="1:7" x14ac:dyDescent="0.35">
      <c r="A43" t="s">
        <v>195</v>
      </c>
      <c r="B43" s="5" t="s">
        <v>16</v>
      </c>
      <c r="C43" s="52">
        <v>90</v>
      </c>
      <c r="D43" s="52">
        <v>262.15555555555557</v>
      </c>
      <c r="E43" s="52">
        <f t="shared" si="3"/>
        <v>23594</v>
      </c>
      <c r="F43" s="52">
        <f t="shared" si="4"/>
        <v>1415640</v>
      </c>
      <c r="G43" s="52">
        <f>+F43/Supuestos!$B$7</f>
        <v>3074.070052767584</v>
      </c>
    </row>
    <row r="44" spans="1:7" x14ac:dyDescent="0.35">
      <c r="A44" t="s">
        <v>196</v>
      </c>
      <c r="B44" s="5" t="s">
        <v>16</v>
      </c>
      <c r="C44" s="52">
        <v>90</v>
      </c>
      <c r="D44" s="52">
        <v>426.11111111111109</v>
      </c>
      <c r="E44" s="52">
        <f t="shared" si="3"/>
        <v>38350</v>
      </c>
      <c r="F44" s="52">
        <f t="shared" si="4"/>
        <v>2301000</v>
      </c>
      <c r="G44" s="52">
        <f>+F44/Supuestos!$B$7</f>
        <v>4996.634166467612</v>
      </c>
    </row>
    <row r="45" spans="1:7" x14ac:dyDescent="0.35">
      <c r="A45" t="s">
        <v>197</v>
      </c>
      <c r="B45" s="5" t="s">
        <v>16</v>
      </c>
      <c r="C45" s="52">
        <v>120</v>
      </c>
      <c r="D45" s="52">
        <f>36745/15</f>
        <v>2449.6666666666665</v>
      </c>
      <c r="E45" s="52">
        <f t="shared" si="3"/>
        <v>293960</v>
      </c>
      <c r="F45" s="52">
        <f t="shared" si="4"/>
        <v>17637600</v>
      </c>
      <c r="G45" s="52">
        <f>+F45/Supuestos!$B$7</f>
        <v>38300.145490868817</v>
      </c>
    </row>
    <row r="46" spans="1:7" x14ac:dyDescent="0.35">
      <c r="A46" t="s">
        <v>198</v>
      </c>
      <c r="B46" s="5" t="s">
        <v>17</v>
      </c>
      <c r="C46" s="52">
        <v>1.8</v>
      </c>
      <c r="D46" s="52">
        <v>24741</v>
      </c>
      <c r="E46" s="52">
        <f t="shared" si="3"/>
        <v>44533.8</v>
      </c>
      <c r="F46" s="52">
        <f t="shared" si="4"/>
        <v>2672028</v>
      </c>
      <c r="G46" s="52">
        <f>+F46/Supuestos!$B$7</f>
        <v>5802.3235108900999</v>
      </c>
    </row>
    <row r="47" spans="1:7" x14ac:dyDescent="0.35">
      <c r="A47" t="s">
        <v>199</v>
      </c>
      <c r="B47" s="5" t="s">
        <v>17</v>
      </c>
      <c r="C47" s="52">
        <v>18</v>
      </c>
      <c r="D47" s="52">
        <v>4306</v>
      </c>
      <c r="E47" s="52">
        <f t="shared" si="3"/>
        <v>77508</v>
      </c>
      <c r="F47" s="52">
        <f t="shared" si="4"/>
        <v>4650480</v>
      </c>
      <c r="G47" s="52">
        <f>+F47/Supuestos!$B$7</f>
        <v>10098.542919806301</v>
      </c>
    </row>
    <row r="48" spans="1:7" x14ac:dyDescent="0.35">
      <c r="A48" t="s">
        <v>232</v>
      </c>
      <c r="B48" s="5" t="s">
        <v>17</v>
      </c>
      <c r="C48" s="52">
        <v>4.5</v>
      </c>
      <c r="D48" s="52">
        <v>3475</v>
      </c>
      <c r="E48" s="52">
        <f t="shared" si="3"/>
        <v>15637.5</v>
      </c>
      <c r="F48" s="52">
        <f t="shared" si="4"/>
        <v>938250</v>
      </c>
      <c r="G48" s="52">
        <f>+F48/Supuestos!$B$7</f>
        <v>2037.4150398471261</v>
      </c>
    </row>
    <row r="49" spans="1:7" x14ac:dyDescent="0.35">
      <c r="A49" t="s">
        <v>201</v>
      </c>
      <c r="B49" s="5" t="s">
        <v>16</v>
      </c>
      <c r="C49" s="52">
        <v>4</v>
      </c>
      <c r="D49" s="52">
        <v>3900</v>
      </c>
      <c r="E49" s="52">
        <f t="shared" si="3"/>
        <v>15600</v>
      </c>
      <c r="F49" s="52">
        <f t="shared" si="4"/>
        <v>936000</v>
      </c>
      <c r="G49" s="52">
        <f>+F49/Supuestos!$B$7</f>
        <v>2032.5291524614015</v>
      </c>
    </row>
    <row r="50" spans="1:7" x14ac:dyDescent="0.35">
      <c r="A50" t="s">
        <v>233</v>
      </c>
      <c r="B50" s="5" t="s">
        <v>97</v>
      </c>
      <c r="C50" s="52">
        <v>3000</v>
      </c>
      <c r="D50" s="52">
        <v>100</v>
      </c>
      <c r="E50" s="52">
        <f t="shared" si="3"/>
        <v>300000</v>
      </c>
      <c r="F50" s="52">
        <f t="shared" si="4"/>
        <v>18000000</v>
      </c>
      <c r="G50" s="52">
        <f>+F50/Supuestos!$B$7</f>
        <v>39087.099085796181</v>
      </c>
    </row>
    <row r="51" spans="1:7" ht="15" thickBot="1" x14ac:dyDescent="0.4">
      <c r="A51" s="55"/>
      <c r="B51" s="56"/>
      <c r="C51" s="55"/>
      <c r="D51" s="62" t="s">
        <v>100</v>
      </c>
      <c r="E51" s="59">
        <f>+SUM(E40:E50)</f>
        <v>2585633.2999999998</v>
      </c>
      <c r="F51" s="59">
        <f>+SUM(F40:F50)</f>
        <v>155137998</v>
      </c>
      <c r="G51" s="59">
        <f>+F51/Supuestos!$B$7</f>
        <v>336883.01665544725</v>
      </c>
    </row>
    <row r="52" spans="1:7" x14ac:dyDescent="0.35">
      <c r="A52" s="130" t="s">
        <v>37</v>
      </c>
      <c r="B52" s="130"/>
      <c r="C52" s="130"/>
      <c r="D52" s="130"/>
      <c r="E52" s="130"/>
      <c r="F52" s="130"/>
    </row>
    <row r="53" spans="1:7" x14ac:dyDescent="0.35">
      <c r="A53" t="s">
        <v>13</v>
      </c>
      <c r="B53" s="5" t="s">
        <v>14</v>
      </c>
      <c r="C53">
        <v>1</v>
      </c>
      <c r="D53" s="52">
        <v>8000.32</v>
      </c>
      <c r="F53" s="52">
        <f>+C53*D53*$B$6</f>
        <v>480019.19999999995</v>
      </c>
      <c r="G53" s="63">
        <f>F53/Supuestos!$B$7</f>
        <v>1042.3643351935896</v>
      </c>
    </row>
    <row r="54" spans="1:7" x14ac:dyDescent="0.35">
      <c r="A54" s="4" t="s">
        <v>180</v>
      </c>
      <c r="B54" s="109" t="s">
        <v>98</v>
      </c>
      <c r="C54" s="4">
        <v>1</v>
      </c>
      <c r="D54" s="54">
        <v>10570</v>
      </c>
      <c r="E54" s="4"/>
      <c r="F54" s="54">
        <f>B6*C54*D54</f>
        <v>634200</v>
      </c>
      <c r="G54" s="54">
        <f>F54/Supuestos!$B$7</f>
        <v>1377.1687911228855</v>
      </c>
    </row>
    <row r="55" spans="1:7" ht="15" thickBot="1" x14ac:dyDescent="0.4">
      <c r="D55" s="1" t="s">
        <v>102</v>
      </c>
      <c r="F55" s="52">
        <f>+SUM(F53:F54)</f>
        <v>1114219.2</v>
      </c>
      <c r="G55" s="61">
        <f>F55/Supuestos!$B$7</f>
        <v>2419.5331263164753</v>
      </c>
    </row>
    <row r="56" spans="1:7" x14ac:dyDescent="0.35">
      <c r="A56" s="130" t="s">
        <v>103</v>
      </c>
      <c r="B56" s="130"/>
      <c r="C56" s="130"/>
      <c r="D56" s="130"/>
      <c r="E56" s="130"/>
      <c r="F56" s="130"/>
      <c r="G56" s="70"/>
    </row>
    <row r="57" spans="1:7" x14ac:dyDescent="0.35">
      <c r="A57" t="s">
        <v>104</v>
      </c>
      <c r="B57" s="5" t="s">
        <v>97</v>
      </c>
      <c r="C57">
        <v>3</v>
      </c>
      <c r="D57" s="52">
        <v>5000</v>
      </c>
      <c r="E57">
        <f>+C57*D57</f>
        <v>15000</v>
      </c>
      <c r="F57" s="52">
        <f>+C57*D57*$B$6</f>
        <v>900000</v>
      </c>
      <c r="G57" s="52">
        <f>+F57/Supuestos!$B$7</f>
        <v>1954.3549542898093</v>
      </c>
    </row>
    <row r="58" spans="1:7" x14ac:dyDescent="0.35">
      <c r="A58" t="s">
        <v>80</v>
      </c>
      <c r="B58" s="5" t="s">
        <v>97</v>
      </c>
      <c r="C58">
        <v>3</v>
      </c>
      <c r="D58" s="52">
        <v>8000</v>
      </c>
      <c r="E58">
        <f t="shared" ref="E58:E61" si="5">+C58*D58</f>
        <v>24000</v>
      </c>
      <c r="F58" s="52">
        <f>+C58*D58*$B$6</f>
        <v>1440000</v>
      </c>
      <c r="G58" s="52">
        <f>+F58/Supuestos!$B$7</f>
        <v>3126.9679268636946</v>
      </c>
    </row>
    <row r="59" spans="1:7" x14ac:dyDescent="0.35">
      <c r="A59" t="s">
        <v>105</v>
      </c>
      <c r="B59" s="5" t="s">
        <v>97</v>
      </c>
      <c r="C59">
        <v>3</v>
      </c>
      <c r="D59" s="52">
        <v>9000</v>
      </c>
      <c r="E59">
        <f t="shared" si="5"/>
        <v>27000</v>
      </c>
      <c r="F59" s="52">
        <f>+C59*D59*$B$6</f>
        <v>1620000</v>
      </c>
      <c r="G59" s="52">
        <f>+F59/Supuestos!$B$7</f>
        <v>3517.8389177216563</v>
      </c>
    </row>
    <row r="60" spans="1:7" x14ac:dyDescent="0.35">
      <c r="A60" t="s">
        <v>106</v>
      </c>
      <c r="B60" s="5" t="s">
        <v>97</v>
      </c>
      <c r="C60">
        <v>3</v>
      </c>
      <c r="D60" s="52">
        <v>5000</v>
      </c>
      <c r="E60">
        <f t="shared" si="5"/>
        <v>15000</v>
      </c>
      <c r="F60" s="52">
        <f>+C60*D60*$B$6</f>
        <v>900000</v>
      </c>
      <c r="G60" s="52">
        <f>+F60/Supuestos!$B$7</f>
        <v>1954.3549542898093</v>
      </c>
    </row>
    <row r="61" spans="1:7" x14ac:dyDescent="0.35">
      <c r="A61" s="4" t="s">
        <v>107</v>
      </c>
      <c r="B61" s="109" t="s">
        <v>97</v>
      </c>
      <c r="C61" s="4">
        <v>3</v>
      </c>
      <c r="D61" s="54">
        <v>8000</v>
      </c>
      <c r="E61" s="4">
        <f t="shared" si="5"/>
        <v>24000</v>
      </c>
      <c r="F61" s="54">
        <f>+C61*D61*$B$6</f>
        <v>1440000</v>
      </c>
      <c r="G61" s="54">
        <f>+F61/Supuestos!$B$7</f>
        <v>3126.9679268636946</v>
      </c>
    </row>
    <row r="62" spans="1:7" ht="15" thickBot="1" x14ac:dyDescent="0.4">
      <c r="C62" s="125" t="s">
        <v>108</v>
      </c>
      <c r="D62" s="125"/>
      <c r="E62" s="52">
        <f>+SUM(E57:E61)</f>
        <v>105000</v>
      </c>
      <c r="F62" s="71">
        <f>+SUM(F57:F61)</f>
        <v>6300000</v>
      </c>
      <c r="G62" s="72">
        <f>+F62/Supuestos!$B$7</f>
        <v>13680.484680028665</v>
      </c>
    </row>
    <row r="63" spans="1:7" x14ac:dyDescent="0.35">
      <c r="A63" s="130" t="s">
        <v>109</v>
      </c>
      <c r="B63" s="130"/>
      <c r="C63" s="130"/>
      <c r="D63" s="130"/>
      <c r="E63" s="130"/>
      <c r="F63" s="130"/>
      <c r="G63" s="4"/>
    </row>
    <row r="64" spans="1:7" x14ac:dyDescent="0.35">
      <c r="A64" s="2" t="s">
        <v>110</v>
      </c>
      <c r="B64" s="7" t="s">
        <v>111</v>
      </c>
      <c r="C64" s="2">
        <v>1</v>
      </c>
      <c r="D64" s="58">
        <v>400000</v>
      </c>
      <c r="E64" s="2"/>
      <c r="F64" s="58">
        <f>1*C64*D64*B6</f>
        <v>24000000</v>
      </c>
      <c r="G64" s="58">
        <f>+F64/Supuestos!$B$7</f>
        <v>52116.13211439491</v>
      </c>
    </row>
    <row r="65" spans="1:7" ht="15" thickBot="1" x14ac:dyDescent="0.4">
      <c r="D65" s="1" t="s">
        <v>112</v>
      </c>
      <c r="F65" s="71">
        <f>+SUM(F64)</f>
        <v>24000000</v>
      </c>
      <c r="G65" s="72">
        <f>+F65/Supuestos!$B$7</f>
        <v>52116.13211439491</v>
      </c>
    </row>
    <row r="66" spans="1:7" ht="15" thickBot="1" x14ac:dyDescent="0.4">
      <c r="A66" s="55"/>
      <c r="B66" s="56"/>
      <c r="C66" s="55"/>
      <c r="D66" s="62" t="s">
        <v>181</v>
      </c>
      <c r="E66" s="55"/>
      <c r="F66" s="60">
        <f>+F38+F51+F55+F62+F65</f>
        <v>317402587.8421917</v>
      </c>
      <c r="G66" s="60">
        <f>+F66/Supuestos!$B$7</f>
        <v>689241.46672643744</v>
      </c>
    </row>
    <row r="68" spans="1:7" x14ac:dyDescent="0.35">
      <c r="A68" s="53" t="s">
        <v>115</v>
      </c>
      <c r="B68" s="7"/>
      <c r="C68" s="2"/>
      <c r="D68" s="2"/>
      <c r="E68" s="2"/>
      <c r="F68" s="2"/>
      <c r="G68" s="2"/>
    </row>
    <row r="69" spans="1:7" x14ac:dyDescent="0.35">
      <c r="A69" s="1" t="s">
        <v>11</v>
      </c>
      <c r="B69" s="105" t="s">
        <v>18</v>
      </c>
      <c r="C69" s="105" t="s">
        <v>116</v>
      </c>
      <c r="D69" s="105" t="s">
        <v>117</v>
      </c>
      <c r="E69" s="105" t="s">
        <v>118</v>
      </c>
      <c r="F69" s="105" t="s">
        <v>119</v>
      </c>
      <c r="G69" s="105" t="s">
        <v>120</v>
      </c>
    </row>
    <row r="70" spans="1:7" x14ac:dyDescent="0.35">
      <c r="A70" t="s">
        <v>121</v>
      </c>
      <c r="B70" s="5">
        <v>1</v>
      </c>
      <c r="C70" s="52">
        <v>500000</v>
      </c>
      <c r="D70" s="52">
        <f>+B70*C70</f>
        <v>500000</v>
      </c>
      <c r="E70" s="5">
        <v>5</v>
      </c>
      <c r="F70" s="5">
        <v>0</v>
      </c>
      <c r="G70" s="52">
        <f>+(D70-F70)/E70</f>
        <v>100000</v>
      </c>
    </row>
    <row r="71" spans="1:7" x14ac:dyDescent="0.35">
      <c r="A71" t="s">
        <v>122</v>
      </c>
      <c r="B71" s="5">
        <v>1</v>
      </c>
      <c r="C71" s="52">
        <v>400000</v>
      </c>
      <c r="D71" s="52">
        <f>+B71*C71</f>
        <v>400000</v>
      </c>
      <c r="E71" s="5">
        <v>5</v>
      </c>
      <c r="F71" s="5">
        <v>0</v>
      </c>
      <c r="G71" s="52">
        <f>+(D71-F71)/E71</f>
        <v>80000</v>
      </c>
    </row>
    <row r="72" spans="1:7" x14ac:dyDescent="0.35">
      <c r="A72" t="s">
        <v>123</v>
      </c>
      <c r="B72" s="5">
        <v>1</v>
      </c>
      <c r="C72" s="52">
        <v>75000</v>
      </c>
      <c r="D72" s="52">
        <f>+B72*C72</f>
        <v>75000</v>
      </c>
      <c r="E72" s="5">
        <v>5</v>
      </c>
      <c r="F72" s="5">
        <v>0</v>
      </c>
      <c r="G72" s="52">
        <f>+(D72-F72)/E72</f>
        <v>15000</v>
      </c>
    </row>
    <row r="73" spans="1:7" x14ac:dyDescent="0.35">
      <c r="A73" s="131" t="s">
        <v>124</v>
      </c>
      <c r="B73" s="131"/>
      <c r="C73" s="131"/>
      <c r="D73" s="74">
        <f>+SUM(D70:D72)</f>
        <v>975000</v>
      </c>
      <c r="E73" s="53"/>
      <c r="F73" s="53" t="s">
        <v>120</v>
      </c>
      <c r="G73" s="74">
        <f>+SUM(G70:G72)</f>
        <v>195000</v>
      </c>
    </row>
    <row r="75" spans="1:7" ht="16" x14ac:dyDescent="0.4">
      <c r="A75" s="126" t="s">
        <v>50</v>
      </c>
      <c r="B75" s="126"/>
      <c r="C75" s="126"/>
      <c r="D75" s="126"/>
      <c r="E75" s="126"/>
      <c r="F75" s="126"/>
      <c r="G75" s="126"/>
    </row>
    <row r="76" spans="1:7" x14ac:dyDescent="0.35">
      <c r="A76" s="127" t="s">
        <v>88</v>
      </c>
      <c r="B76" s="127"/>
      <c r="C76" s="127"/>
      <c r="D76" s="127"/>
      <c r="E76" s="127"/>
      <c r="F76" s="127"/>
      <c r="G76" s="127"/>
    </row>
    <row r="77" spans="1:7" x14ac:dyDescent="0.35">
      <c r="A77" s="53" t="s">
        <v>11</v>
      </c>
      <c r="B77" s="57" t="s">
        <v>19</v>
      </c>
      <c r="C77" s="53" t="s">
        <v>91</v>
      </c>
      <c r="D77" s="53" t="s">
        <v>92</v>
      </c>
      <c r="E77" s="57" t="s">
        <v>87</v>
      </c>
      <c r="F77" s="57" t="s">
        <v>101</v>
      </c>
      <c r="G77" s="57" t="s">
        <v>95</v>
      </c>
    </row>
    <row r="78" spans="1:7" x14ac:dyDescent="0.35">
      <c r="A78" t="s">
        <v>227</v>
      </c>
      <c r="B78" s="5" t="s">
        <v>179</v>
      </c>
      <c r="C78">
        <v>35</v>
      </c>
      <c r="D78" s="121">
        <f t="shared" ref="D78:D87" si="6">12436.41/8</f>
        <v>1554.55125</v>
      </c>
      <c r="E78" s="52">
        <f t="shared" ref="E78:E87" si="7">+C78*D78</f>
        <v>54409.293749999997</v>
      </c>
      <c r="F78" s="52">
        <f t="shared" ref="F78:F89" si="8">+E78*$B$6</f>
        <v>3264557.625</v>
      </c>
      <c r="G78" s="52">
        <f>+F78/Supuestos!$B$7</f>
        <v>7089.0048533148029</v>
      </c>
    </row>
    <row r="79" spans="1:7" x14ac:dyDescent="0.35">
      <c r="A79" t="s">
        <v>182</v>
      </c>
      <c r="B79" s="5" t="s">
        <v>179</v>
      </c>
      <c r="C79" s="89">
        <f>+(3000*64)/3333</f>
        <v>57.605760576057605</v>
      </c>
      <c r="D79" s="121">
        <f t="shared" si="6"/>
        <v>1554.55125</v>
      </c>
      <c r="E79" s="52">
        <f t="shared" si="7"/>
        <v>89551.107110711077</v>
      </c>
      <c r="F79" s="52">
        <f t="shared" si="8"/>
        <v>5373066.4266426647</v>
      </c>
      <c r="G79" s="52">
        <f>+F79/Supuestos!$B$7</f>
        <v>11667.643322930371</v>
      </c>
    </row>
    <row r="80" spans="1:7" x14ac:dyDescent="0.35">
      <c r="A80" t="s">
        <v>183</v>
      </c>
      <c r="B80" s="5" t="s">
        <v>179</v>
      </c>
      <c r="C80">
        <v>10</v>
      </c>
      <c r="D80" s="121">
        <f t="shared" si="6"/>
        <v>1554.55125</v>
      </c>
      <c r="E80" s="52">
        <f t="shared" si="7"/>
        <v>15545.512500000001</v>
      </c>
      <c r="F80" s="52">
        <f t="shared" si="8"/>
        <v>932730.75</v>
      </c>
      <c r="G80" s="52">
        <f>+F80/Supuestos!$B$7</f>
        <v>2025.4299580899437</v>
      </c>
    </row>
    <row r="81" spans="1:7" x14ac:dyDescent="0.35">
      <c r="A81" t="s">
        <v>184</v>
      </c>
      <c r="B81" s="5" t="s">
        <v>179</v>
      </c>
      <c r="C81">
        <v>8</v>
      </c>
      <c r="D81" s="121">
        <f t="shared" si="6"/>
        <v>1554.55125</v>
      </c>
      <c r="E81" s="52">
        <f t="shared" si="7"/>
        <v>12436.41</v>
      </c>
      <c r="F81" s="52">
        <f t="shared" si="8"/>
        <v>746184.6</v>
      </c>
      <c r="G81" s="52">
        <f>+F81/Supuestos!$B$7</f>
        <v>1620.3439664719549</v>
      </c>
    </row>
    <row r="82" spans="1:7" x14ac:dyDescent="0.35">
      <c r="A82" t="s">
        <v>185</v>
      </c>
      <c r="B82" s="5" t="s">
        <v>179</v>
      </c>
      <c r="C82" s="89">
        <f>+(3000*195)/3333</f>
        <v>175.5175517551755</v>
      </c>
      <c r="D82" s="121">
        <f t="shared" si="6"/>
        <v>1554.55125</v>
      </c>
      <c r="E82" s="52">
        <f t="shared" si="7"/>
        <v>272851.02947794774</v>
      </c>
      <c r="F82" s="52">
        <f t="shared" si="8"/>
        <v>16371061.768676864</v>
      </c>
      <c r="G82" s="52">
        <f>+F82/Supuestos!$B$7</f>
        <v>35549.850749553458</v>
      </c>
    </row>
    <row r="83" spans="1:7" x14ac:dyDescent="0.35">
      <c r="A83" t="s">
        <v>186</v>
      </c>
      <c r="B83" s="5" t="s">
        <v>179</v>
      </c>
      <c r="C83" s="89">
        <f>+(3000*132)/3333</f>
        <v>118.81188118811882</v>
      </c>
      <c r="D83" s="121">
        <f t="shared" si="6"/>
        <v>1554.55125</v>
      </c>
      <c r="E83" s="52">
        <f t="shared" si="7"/>
        <v>184699.15841584158</v>
      </c>
      <c r="F83" s="52">
        <f t="shared" si="8"/>
        <v>11081949.504950495</v>
      </c>
      <c r="G83" s="52">
        <f>+F83/Supuestos!$B$7</f>
        <v>24064.514353543887</v>
      </c>
    </row>
    <row r="84" spans="1:7" x14ac:dyDescent="0.35">
      <c r="A84" t="s">
        <v>188</v>
      </c>
      <c r="B84" s="5" t="s">
        <v>179</v>
      </c>
      <c r="C84" s="89">
        <f>+(3000*368)/3333</f>
        <v>331.23312331233126</v>
      </c>
      <c r="D84" s="121">
        <f t="shared" si="6"/>
        <v>1554.55125</v>
      </c>
      <c r="E84" s="52">
        <f t="shared" si="7"/>
        <v>514918.8658865887</v>
      </c>
      <c r="F84" s="52">
        <f t="shared" si="8"/>
        <v>30895131.953195322</v>
      </c>
      <c r="G84" s="52">
        <f>+F84/Supuestos!$B$7</f>
        <v>67088.949106849628</v>
      </c>
    </row>
    <row r="85" spans="1:7" x14ac:dyDescent="0.35">
      <c r="A85" s="106" t="s">
        <v>189</v>
      </c>
      <c r="B85" s="122" t="s">
        <v>179</v>
      </c>
      <c r="C85" s="120">
        <f>+(3000*160)/3333</f>
        <v>144.01440144014401</v>
      </c>
      <c r="D85" s="121">
        <f t="shared" si="6"/>
        <v>1554.55125</v>
      </c>
      <c r="E85" s="121">
        <f t="shared" si="7"/>
        <v>223877.76777677768</v>
      </c>
      <c r="F85" s="121">
        <f t="shared" si="8"/>
        <v>13432666.066606661</v>
      </c>
      <c r="G85" s="121">
        <f>+F85/Supuestos!$B$7</f>
        <v>29169.108307325925</v>
      </c>
    </row>
    <row r="86" spans="1:7" x14ac:dyDescent="0.35">
      <c r="A86" t="s">
        <v>190</v>
      </c>
      <c r="B86" s="5" t="s">
        <v>179</v>
      </c>
      <c r="C86" s="89">
        <f>+(3000*32)/3333</f>
        <v>28.802880288028803</v>
      </c>
      <c r="D86" s="121">
        <f t="shared" si="6"/>
        <v>1554.55125</v>
      </c>
      <c r="E86" s="52">
        <f t="shared" si="7"/>
        <v>44775.553555355538</v>
      </c>
      <c r="F86" s="52">
        <f t="shared" si="8"/>
        <v>2686533.2133213324</v>
      </c>
      <c r="G86" s="52">
        <f>+F86/Supuestos!$B$7</f>
        <v>5833.8216614651856</v>
      </c>
    </row>
    <row r="87" spans="1:7" x14ac:dyDescent="0.35">
      <c r="A87" t="s">
        <v>228</v>
      </c>
      <c r="B87" s="5" t="s">
        <v>179</v>
      </c>
      <c r="C87">
        <v>112</v>
      </c>
      <c r="D87" s="121">
        <f t="shared" si="6"/>
        <v>1554.55125</v>
      </c>
      <c r="E87" s="52">
        <f t="shared" si="7"/>
        <v>174109.74</v>
      </c>
      <c r="F87" s="52">
        <f t="shared" si="8"/>
        <v>10446584.399999999</v>
      </c>
      <c r="G87" s="52">
        <f>+F87/Supuestos!$B$7</f>
        <v>22684.815530607368</v>
      </c>
    </row>
    <row r="88" spans="1:7" x14ac:dyDescent="0.35">
      <c r="A88" t="s">
        <v>191</v>
      </c>
      <c r="B88" s="5" t="s">
        <v>229</v>
      </c>
      <c r="C88">
        <v>400</v>
      </c>
      <c r="D88" s="121">
        <f>0.11*Supuestos!B7</f>
        <v>50.656100000000002</v>
      </c>
      <c r="E88" s="52">
        <f>+C88*D88</f>
        <v>20262.440000000002</v>
      </c>
      <c r="F88" s="52">
        <f t="shared" si="8"/>
        <v>1215746.4000000001</v>
      </c>
      <c r="G88" s="52">
        <f>+F88/Supuestos!$B$7</f>
        <v>2640.0000000000005</v>
      </c>
    </row>
    <row r="89" spans="1:7" x14ac:dyDescent="0.35">
      <c r="A89" t="s">
        <v>230</v>
      </c>
      <c r="B89" s="5" t="s">
        <v>229</v>
      </c>
      <c r="C89">
        <v>800</v>
      </c>
      <c r="D89" s="121">
        <f>0.11*Supuestos!B7</f>
        <v>50.656100000000002</v>
      </c>
      <c r="E89" s="52">
        <f>+C89*D89</f>
        <v>40524.880000000005</v>
      </c>
      <c r="F89" s="52">
        <f t="shared" si="8"/>
        <v>2431492.8000000003</v>
      </c>
      <c r="G89" s="52">
        <f>+F89/Supuestos!$B$7</f>
        <v>5280.0000000000009</v>
      </c>
    </row>
    <row r="90" spans="1:7" x14ac:dyDescent="0.35">
      <c r="A90" s="2" t="s">
        <v>89</v>
      </c>
      <c r="B90" s="7"/>
      <c r="C90" s="2"/>
      <c r="D90" s="2"/>
      <c r="E90" s="2"/>
      <c r="F90" s="58">
        <f>+SUM(F78:F89)</f>
        <v>98877705.508393332</v>
      </c>
      <c r="G90" s="58">
        <f>+SUM(G78:G89)</f>
        <v>214713.4818101525</v>
      </c>
    </row>
    <row r="91" spans="1:7" x14ac:dyDescent="0.35">
      <c r="A91" s="4" t="s">
        <v>192</v>
      </c>
      <c r="B91" s="109" t="s">
        <v>90</v>
      </c>
      <c r="C91" s="4">
        <v>0.5</v>
      </c>
      <c r="D91" s="4"/>
      <c r="E91" s="4"/>
      <c r="F91" s="58">
        <f>+F90*C91</f>
        <v>49438852.754196666</v>
      </c>
      <c r="G91" s="58">
        <f>+G90*C91</f>
        <v>107356.74090507625</v>
      </c>
    </row>
    <row r="92" spans="1:7" ht="15" thickBot="1" x14ac:dyDescent="0.4">
      <c r="A92" s="125" t="s">
        <v>93</v>
      </c>
      <c r="B92" s="125"/>
      <c r="C92" s="125"/>
      <c r="D92" s="125"/>
      <c r="E92" s="125"/>
      <c r="F92" s="60">
        <f>+F90+F91</f>
        <v>148316558.26258999</v>
      </c>
      <c r="G92" s="60">
        <f>+G90+G91</f>
        <v>322070.22271522874</v>
      </c>
    </row>
    <row r="94" spans="1:7" ht="15" thickBot="1" x14ac:dyDescent="0.4">
      <c r="A94" s="62" t="s">
        <v>96</v>
      </c>
      <c r="B94" s="56"/>
      <c r="C94" s="55"/>
      <c r="D94" s="55"/>
      <c r="E94" s="55"/>
      <c r="F94" s="55"/>
      <c r="G94" s="55"/>
    </row>
    <row r="95" spans="1:7" x14ac:dyDescent="0.35">
      <c r="A95" t="s">
        <v>193</v>
      </c>
      <c r="B95" s="5" t="s">
        <v>16</v>
      </c>
      <c r="C95" s="52">
        <v>90</v>
      </c>
      <c r="D95" s="52">
        <f>+(28950/45)</f>
        <v>643.33333333333337</v>
      </c>
      <c r="E95" s="52">
        <f t="shared" ref="E95:E105" si="9">+C95*D95</f>
        <v>57900</v>
      </c>
      <c r="F95" s="52">
        <f t="shared" ref="F95:F105" si="10">+E95*$B$6</f>
        <v>3474000</v>
      </c>
      <c r="G95" s="52">
        <f>+F95/Supuestos!$B$7</f>
        <v>7543.8101235586637</v>
      </c>
    </row>
    <row r="96" spans="1:7" x14ac:dyDescent="0.35">
      <c r="A96" t="s">
        <v>194</v>
      </c>
      <c r="B96" s="5" t="s">
        <v>16</v>
      </c>
      <c r="C96" s="52">
        <v>270</v>
      </c>
      <c r="D96" s="52">
        <f>15175/45</f>
        <v>337.22222222222223</v>
      </c>
      <c r="E96" s="52">
        <f t="shared" si="9"/>
        <v>91050</v>
      </c>
      <c r="F96" s="52">
        <f t="shared" si="10"/>
        <v>5463000</v>
      </c>
      <c r="G96" s="52">
        <f>+F96/Supuestos!$B$7</f>
        <v>11862.934572539141</v>
      </c>
    </row>
    <row r="97" spans="1:7" x14ac:dyDescent="0.35">
      <c r="A97" t="s">
        <v>195</v>
      </c>
      <c r="B97" s="5" t="s">
        <v>16</v>
      </c>
      <c r="C97" s="52">
        <v>90</v>
      </c>
      <c r="D97" s="52">
        <v>262.15555555555557</v>
      </c>
      <c r="E97" s="52">
        <f t="shared" si="9"/>
        <v>23594</v>
      </c>
      <c r="F97" s="52">
        <f t="shared" si="10"/>
        <v>1415640</v>
      </c>
      <c r="G97" s="52">
        <f>+F97/Supuestos!$B$7</f>
        <v>3074.070052767584</v>
      </c>
    </row>
    <row r="98" spans="1:7" x14ac:dyDescent="0.35">
      <c r="A98" t="s">
        <v>196</v>
      </c>
      <c r="B98" s="5" t="s">
        <v>16</v>
      </c>
      <c r="C98" s="52">
        <v>90</v>
      </c>
      <c r="D98" s="52">
        <v>426.11111111111109</v>
      </c>
      <c r="E98" s="52">
        <f t="shared" si="9"/>
        <v>38350</v>
      </c>
      <c r="F98" s="52">
        <f t="shared" si="10"/>
        <v>2301000</v>
      </c>
      <c r="G98" s="52">
        <f>+F98/Supuestos!$B$7</f>
        <v>4996.634166467612</v>
      </c>
    </row>
    <row r="99" spans="1:7" x14ac:dyDescent="0.35">
      <c r="A99" t="s">
        <v>197</v>
      </c>
      <c r="B99" s="5" t="s">
        <v>16</v>
      </c>
      <c r="C99" s="52">
        <v>120</v>
      </c>
      <c r="D99" s="52">
        <f>36745/15</f>
        <v>2449.6666666666665</v>
      </c>
      <c r="E99" s="52">
        <f t="shared" si="9"/>
        <v>293960</v>
      </c>
      <c r="F99" s="52">
        <f t="shared" si="10"/>
        <v>17637600</v>
      </c>
      <c r="G99" s="52">
        <f>+F99/Supuestos!$B$7</f>
        <v>38300.145490868817</v>
      </c>
    </row>
    <row r="100" spans="1:7" x14ac:dyDescent="0.35">
      <c r="A100" t="s">
        <v>198</v>
      </c>
      <c r="B100" s="5" t="s">
        <v>17</v>
      </c>
      <c r="C100" s="52">
        <v>1.8</v>
      </c>
      <c r="D100" s="52">
        <v>24741</v>
      </c>
      <c r="E100" s="52">
        <f t="shared" si="9"/>
        <v>44533.8</v>
      </c>
      <c r="F100" s="52">
        <f t="shared" si="10"/>
        <v>2672028</v>
      </c>
      <c r="G100" s="52">
        <f>+F100/Supuestos!$B$7</f>
        <v>5802.3235108900999</v>
      </c>
    </row>
    <row r="101" spans="1:7" x14ac:dyDescent="0.35">
      <c r="A101" t="s">
        <v>199</v>
      </c>
      <c r="B101" s="5" t="s">
        <v>17</v>
      </c>
      <c r="C101" s="52">
        <v>18</v>
      </c>
      <c r="D101" s="52">
        <v>4306</v>
      </c>
      <c r="E101" s="52">
        <f t="shared" si="9"/>
        <v>77508</v>
      </c>
      <c r="F101" s="52">
        <f t="shared" si="10"/>
        <v>4650480</v>
      </c>
      <c r="G101" s="52">
        <f>+F101/Supuestos!$B$7</f>
        <v>10098.542919806301</v>
      </c>
    </row>
    <row r="102" spans="1:7" x14ac:dyDescent="0.35">
      <c r="A102" t="s">
        <v>232</v>
      </c>
      <c r="B102" s="5" t="s">
        <v>17</v>
      </c>
      <c r="C102" s="52">
        <v>4.5</v>
      </c>
      <c r="D102" s="52">
        <v>3475</v>
      </c>
      <c r="E102" s="52">
        <f t="shared" si="9"/>
        <v>15637.5</v>
      </c>
      <c r="F102" s="52">
        <f t="shared" si="10"/>
        <v>938250</v>
      </c>
      <c r="G102" s="52">
        <f>+F102/Supuestos!$B$7</f>
        <v>2037.4150398471261</v>
      </c>
    </row>
    <row r="103" spans="1:7" x14ac:dyDescent="0.35">
      <c r="A103" t="s">
        <v>200</v>
      </c>
      <c r="B103" s="5" t="s">
        <v>16</v>
      </c>
      <c r="C103" s="52">
        <v>60</v>
      </c>
      <c r="D103" s="52">
        <v>2800</v>
      </c>
      <c r="E103" s="52">
        <f t="shared" si="9"/>
        <v>168000</v>
      </c>
      <c r="F103" s="52">
        <f t="shared" si="10"/>
        <v>10080000</v>
      </c>
      <c r="G103" s="52">
        <f>+F103/Supuestos!$B$7</f>
        <v>21888.775488045863</v>
      </c>
    </row>
    <row r="104" spans="1:7" x14ac:dyDescent="0.35">
      <c r="A104" t="s">
        <v>201</v>
      </c>
      <c r="B104" s="5" t="s">
        <v>16</v>
      </c>
      <c r="C104" s="52">
        <v>4</v>
      </c>
      <c r="D104" s="52">
        <v>3900</v>
      </c>
      <c r="E104" s="52">
        <f t="shared" si="9"/>
        <v>15600</v>
      </c>
      <c r="F104" s="52">
        <f t="shared" si="10"/>
        <v>936000</v>
      </c>
      <c r="G104" s="52">
        <f>+F104/Supuestos!$B$7</f>
        <v>2032.5291524614015</v>
      </c>
    </row>
    <row r="105" spans="1:7" x14ac:dyDescent="0.35">
      <c r="A105" t="s">
        <v>233</v>
      </c>
      <c r="B105" s="5" t="s">
        <v>97</v>
      </c>
      <c r="C105" s="52">
        <v>3000</v>
      </c>
      <c r="D105" s="52">
        <v>100</v>
      </c>
      <c r="E105" s="52">
        <f t="shared" si="9"/>
        <v>300000</v>
      </c>
      <c r="F105" s="52">
        <f t="shared" si="10"/>
        <v>18000000</v>
      </c>
      <c r="G105" s="52">
        <f>+F105/Supuestos!$B$7</f>
        <v>39087.099085796181</v>
      </c>
    </row>
    <row r="106" spans="1:7" ht="15" thickBot="1" x14ac:dyDescent="0.4">
      <c r="A106" s="125" t="s">
        <v>202</v>
      </c>
      <c r="B106" s="125"/>
      <c r="C106" s="125"/>
      <c r="D106" s="125"/>
      <c r="E106" s="125"/>
      <c r="F106" s="60">
        <f>+SUM(F95:F105)</f>
        <v>67567998</v>
      </c>
      <c r="G106" s="60">
        <f>+SUM(G95:G105)</f>
        <v>146724.27960304881</v>
      </c>
    </row>
    <row r="108" spans="1:7" ht="15" thickBot="1" x14ac:dyDescent="0.4">
      <c r="A108" s="62" t="s">
        <v>37</v>
      </c>
      <c r="B108" s="96"/>
      <c r="C108" s="62"/>
      <c r="D108" s="62"/>
      <c r="E108" s="62"/>
      <c r="F108" s="62"/>
      <c r="G108" s="62"/>
    </row>
    <row r="109" spans="1:7" x14ac:dyDescent="0.35">
      <c r="A109" s="69" t="s">
        <v>203</v>
      </c>
      <c r="B109" s="109"/>
      <c r="C109" s="4"/>
      <c r="D109" s="4"/>
      <c r="E109" s="4"/>
      <c r="F109" s="4"/>
      <c r="G109" s="4"/>
    </row>
    <row r="110" spans="1:7" x14ac:dyDescent="0.35">
      <c r="A110" t="s">
        <v>157</v>
      </c>
      <c r="B110" s="5" t="s">
        <v>14</v>
      </c>
      <c r="C110">
        <v>3</v>
      </c>
      <c r="D110" s="52">
        <v>28681</v>
      </c>
      <c r="E110" s="64"/>
      <c r="F110" s="52">
        <f>+C110*D110</f>
        <v>86043</v>
      </c>
      <c r="G110" s="76">
        <f>+F110/Supuestos!B7</f>
        <v>186.84284814662004</v>
      </c>
    </row>
    <row r="111" spans="1:7" x14ac:dyDescent="0.35">
      <c r="A111" s="53" t="s">
        <v>204</v>
      </c>
      <c r="B111" s="7"/>
      <c r="C111" s="2"/>
      <c r="D111" s="2"/>
      <c r="E111" s="2"/>
      <c r="F111" s="74">
        <f>+F110</f>
        <v>86043</v>
      </c>
      <c r="G111" s="83">
        <f>+G110</f>
        <v>186.84284814662004</v>
      </c>
    </row>
    <row r="112" spans="1:7" x14ac:dyDescent="0.35">
      <c r="A112" s="1" t="s">
        <v>82</v>
      </c>
      <c r="D112" s="75">
        <f>+Supuestos!B18</f>
        <v>0.04</v>
      </c>
      <c r="F112" s="52">
        <f>(F92+F106)*D112</f>
        <v>8635382.2505035996</v>
      </c>
      <c r="G112" s="76">
        <f>(G92+G106)*D112</f>
        <v>18751.780092731104</v>
      </c>
    </row>
    <row r="113" spans="1:7" ht="15" thickBot="1" x14ac:dyDescent="0.4">
      <c r="A113" s="125" t="s">
        <v>12</v>
      </c>
      <c r="B113" s="125"/>
      <c r="C113" s="125"/>
      <c r="D113" s="125"/>
      <c r="E113" s="125"/>
      <c r="F113" s="60">
        <f>+F111+F112</f>
        <v>8721425.2505035996</v>
      </c>
      <c r="G113" s="84">
        <f>+G111+G112</f>
        <v>18938.622940877725</v>
      </c>
    </row>
  </sheetData>
  <mergeCells count="15">
    <mergeCell ref="B16:C16"/>
    <mergeCell ref="A113:E113"/>
    <mergeCell ref="A18:G18"/>
    <mergeCell ref="A75:G75"/>
    <mergeCell ref="A76:G76"/>
    <mergeCell ref="A92:E92"/>
    <mergeCell ref="A106:E106"/>
    <mergeCell ref="C62:D62"/>
    <mergeCell ref="C38:D38"/>
    <mergeCell ref="A39:F39"/>
    <mergeCell ref="A19:G19"/>
    <mergeCell ref="A52:F52"/>
    <mergeCell ref="A56:F56"/>
    <mergeCell ref="A63:F63"/>
    <mergeCell ref="A73:C7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81A9F6-FE53-42A3-AED9-E25C310202A5}">
          <x14:formula1>
            <xm:f>Hoja1!$A$1:$A$60</xm:f>
          </x14:formula1>
          <xm:sqref>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00CCC-7A7B-4692-8F5E-F3CC1CA3A54A}">
  <dimension ref="A1:A60"/>
  <sheetViews>
    <sheetView topLeftCell="A44" workbookViewId="0">
      <selection activeCell="A2" sqref="A2:A60"/>
    </sheetView>
  </sheetViews>
  <sheetFormatPr baseColWidth="10" defaultRowHeight="14.5" x14ac:dyDescent="0.35"/>
  <sheetData>
    <row r="1" spans="1:1" x14ac:dyDescent="0.35">
      <c r="A1">
        <v>1</v>
      </c>
    </row>
    <row r="2" spans="1:1" x14ac:dyDescent="0.35">
      <c r="A2">
        <f>1+A1</f>
        <v>2</v>
      </c>
    </row>
    <row r="3" spans="1:1" x14ac:dyDescent="0.35">
      <c r="A3">
        <f t="shared" ref="A3:A60" si="0">1+A2</f>
        <v>3</v>
      </c>
    </row>
    <row r="4" spans="1:1" x14ac:dyDescent="0.35">
      <c r="A4">
        <f t="shared" si="0"/>
        <v>4</v>
      </c>
    </row>
    <row r="5" spans="1:1" x14ac:dyDescent="0.35">
      <c r="A5">
        <f t="shared" si="0"/>
        <v>5</v>
      </c>
    </row>
    <row r="6" spans="1:1" x14ac:dyDescent="0.35">
      <c r="A6">
        <f t="shared" si="0"/>
        <v>6</v>
      </c>
    </row>
    <row r="7" spans="1:1" x14ac:dyDescent="0.35">
      <c r="A7">
        <f t="shared" si="0"/>
        <v>7</v>
      </c>
    </row>
    <row r="8" spans="1:1" x14ac:dyDescent="0.35">
      <c r="A8">
        <f t="shared" si="0"/>
        <v>8</v>
      </c>
    </row>
    <row r="9" spans="1:1" x14ac:dyDescent="0.35">
      <c r="A9">
        <f t="shared" si="0"/>
        <v>9</v>
      </c>
    </row>
    <row r="10" spans="1:1" x14ac:dyDescent="0.35">
      <c r="A10">
        <f t="shared" si="0"/>
        <v>10</v>
      </c>
    </row>
    <row r="11" spans="1:1" x14ac:dyDescent="0.35">
      <c r="A11">
        <f t="shared" si="0"/>
        <v>11</v>
      </c>
    </row>
    <row r="12" spans="1:1" x14ac:dyDescent="0.35">
      <c r="A12">
        <f t="shared" si="0"/>
        <v>12</v>
      </c>
    </row>
    <row r="13" spans="1:1" x14ac:dyDescent="0.35">
      <c r="A13">
        <f t="shared" si="0"/>
        <v>13</v>
      </c>
    </row>
    <row r="14" spans="1:1" x14ac:dyDescent="0.35">
      <c r="A14">
        <f t="shared" si="0"/>
        <v>14</v>
      </c>
    </row>
    <row r="15" spans="1:1" x14ac:dyDescent="0.35">
      <c r="A15">
        <f t="shared" si="0"/>
        <v>15</v>
      </c>
    </row>
    <row r="16" spans="1:1" x14ac:dyDescent="0.35">
      <c r="A16">
        <f t="shared" si="0"/>
        <v>16</v>
      </c>
    </row>
    <row r="17" spans="1:1" x14ac:dyDescent="0.35">
      <c r="A17">
        <f t="shared" si="0"/>
        <v>17</v>
      </c>
    </row>
    <row r="18" spans="1:1" x14ac:dyDescent="0.35">
      <c r="A18">
        <f t="shared" si="0"/>
        <v>18</v>
      </c>
    </row>
    <row r="19" spans="1:1" x14ac:dyDescent="0.35">
      <c r="A19">
        <f t="shared" si="0"/>
        <v>19</v>
      </c>
    </row>
    <row r="20" spans="1:1" x14ac:dyDescent="0.35">
      <c r="A20">
        <f t="shared" si="0"/>
        <v>20</v>
      </c>
    </row>
    <row r="21" spans="1:1" x14ac:dyDescent="0.35">
      <c r="A21">
        <f t="shared" si="0"/>
        <v>21</v>
      </c>
    </row>
    <row r="22" spans="1:1" x14ac:dyDescent="0.35">
      <c r="A22">
        <f t="shared" si="0"/>
        <v>22</v>
      </c>
    </row>
    <row r="23" spans="1:1" x14ac:dyDescent="0.35">
      <c r="A23">
        <f t="shared" si="0"/>
        <v>23</v>
      </c>
    </row>
    <row r="24" spans="1:1" x14ac:dyDescent="0.35">
      <c r="A24">
        <f t="shared" si="0"/>
        <v>24</v>
      </c>
    </row>
    <row r="25" spans="1:1" x14ac:dyDescent="0.35">
      <c r="A25">
        <f t="shared" si="0"/>
        <v>25</v>
      </c>
    </row>
    <row r="26" spans="1:1" x14ac:dyDescent="0.35">
      <c r="A26">
        <f t="shared" si="0"/>
        <v>26</v>
      </c>
    </row>
    <row r="27" spans="1:1" x14ac:dyDescent="0.35">
      <c r="A27">
        <f t="shared" si="0"/>
        <v>27</v>
      </c>
    </row>
    <row r="28" spans="1:1" x14ac:dyDescent="0.35">
      <c r="A28">
        <f t="shared" si="0"/>
        <v>28</v>
      </c>
    </row>
    <row r="29" spans="1:1" x14ac:dyDescent="0.35">
      <c r="A29">
        <f t="shared" si="0"/>
        <v>29</v>
      </c>
    </row>
    <row r="30" spans="1:1" x14ac:dyDescent="0.35">
      <c r="A30">
        <f t="shared" si="0"/>
        <v>30</v>
      </c>
    </row>
    <row r="31" spans="1:1" x14ac:dyDescent="0.35">
      <c r="A31">
        <f t="shared" si="0"/>
        <v>31</v>
      </c>
    </row>
    <row r="32" spans="1:1" x14ac:dyDescent="0.35">
      <c r="A32">
        <f t="shared" si="0"/>
        <v>32</v>
      </c>
    </row>
    <row r="33" spans="1:1" x14ac:dyDescent="0.35">
      <c r="A33">
        <f t="shared" si="0"/>
        <v>33</v>
      </c>
    </row>
    <row r="34" spans="1:1" x14ac:dyDescent="0.35">
      <c r="A34">
        <f t="shared" si="0"/>
        <v>34</v>
      </c>
    </row>
    <row r="35" spans="1:1" x14ac:dyDescent="0.35">
      <c r="A35">
        <f t="shared" si="0"/>
        <v>35</v>
      </c>
    </row>
    <row r="36" spans="1:1" x14ac:dyDescent="0.35">
      <c r="A36">
        <f t="shared" si="0"/>
        <v>36</v>
      </c>
    </row>
    <row r="37" spans="1:1" x14ac:dyDescent="0.35">
      <c r="A37">
        <f t="shared" si="0"/>
        <v>37</v>
      </c>
    </row>
    <row r="38" spans="1:1" x14ac:dyDescent="0.35">
      <c r="A38">
        <f t="shared" si="0"/>
        <v>38</v>
      </c>
    </row>
    <row r="39" spans="1:1" x14ac:dyDescent="0.35">
      <c r="A39">
        <f t="shared" si="0"/>
        <v>39</v>
      </c>
    </row>
    <row r="40" spans="1:1" x14ac:dyDescent="0.35">
      <c r="A40">
        <f t="shared" si="0"/>
        <v>40</v>
      </c>
    </row>
    <row r="41" spans="1:1" x14ac:dyDescent="0.35">
      <c r="A41">
        <f t="shared" si="0"/>
        <v>41</v>
      </c>
    </row>
    <row r="42" spans="1:1" x14ac:dyDescent="0.35">
      <c r="A42">
        <f t="shared" si="0"/>
        <v>42</v>
      </c>
    </row>
    <row r="43" spans="1:1" x14ac:dyDescent="0.35">
      <c r="A43">
        <f t="shared" si="0"/>
        <v>43</v>
      </c>
    </row>
    <row r="44" spans="1:1" x14ac:dyDescent="0.35">
      <c r="A44">
        <f t="shared" si="0"/>
        <v>44</v>
      </c>
    </row>
    <row r="45" spans="1:1" x14ac:dyDescent="0.35">
      <c r="A45">
        <f t="shared" si="0"/>
        <v>45</v>
      </c>
    </row>
    <row r="46" spans="1:1" x14ac:dyDescent="0.35">
      <c r="A46">
        <f t="shared" si="0"/>
        <v>46</v>
      </c>
    </row>
    <row r="47" spans="1:1" x14ac:dyDescent="0.35">
      <c r="A47">
        <f t="shared" si="0"/>
        <v>47</v>
      </c>
    </row>
    <row r="48" spans="1:1" x14ac:dyDescent="0.35">
      <c r="A48">
        <f t="shared" si="0"/>
        <v>48</v>
      </c>
    </row>
    <row r="49" spans="1:1" x14ac:dyDescent="0.35">
      <c r="A49">
        <f t="shared" si="0"/>
        <v>49</v>
      </c>
    </row>
    <row r="50" spans="1:1" x14ac:dyDescent="0.35">
      <c r="A50">
        <f t="shared" si="0"/>
        <v>50</v>
      </c>
    </row>
    <row r="51" spans="1:1" x14ac:dyDescent="0.35">
      <c r="A51">
        <f t="shared" si="0"/>
        <v>51</v>
      </c>
    </row>
    <row r="52" spans="1:1" x14ac:dyDescent="0.35">
      <c r="A52">
        <f t="shared" si="0"/>
        <v>52</v>
      </c>
    </row>
    <row r="53" spans="1:1" x14ac:dyDescent="0.35">
      <c r="A53">
        <f t="shared" si="0"/>
        <v>53</v>
      </c>
    </row>
    <row r="54" spans="1:1" x14ac:dyDescent="0.35">
      <c r="A54">
        <f t="shared" si="0"/>
        <v>54</v>
      </c>
    </row>
    <row r="55" spans="1:1" x14ac:dyDescent="0.35">
      <c r="A55">
        <f t="shared" si="0"/>
        <v>55</v>
      </c>
    </row>
    <row r="56" spans="1:1" x14ac:dyDescent="0.35">
      <c r="A56">
        <f t="shared" si="0"/>
        <v>56</v>
      </c>
    </row>
    <row r="57" spans="1:1" x14ac:dyDescent="0.35">
      <c r="A57">
        <f t="shared" si="0"/>
        <v>57</v>
      </c>
    </row>
    <row r="58" spans="1:1" x14ac:dyDescent="0.35">
      <c r="A58">
        <f t="shared" si="0"/>
        <v>58</v>
      </c>
    </row>
    <row r="59" spans="1:1" x14ac:dyDescent="0.35">
      <c r="A59">
        <f>1+A58</f>
        <v>59</v>
      </c>
    </row>
    <row r="60" spans="1:1" x14ac:dyDescent="0.35">
      <c r="A60">
        <f t="shared" si="0"/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59D4F-2616-49CF-95A8-5DD3B8CDFD73}">
  <dimension ref="A1:K53"/>
  <sheetViews>
    <sheetView showGridLines="0" topLeftCell="A4" zoomScaleNormal="100" workbookViewId="0">
      <selection activeCell="C13" sqref="C13"/>
    </sheetView>
  </sheetViews>
  <sheetFormatPr baseColWidth="10" defaultRowHeight="14.5" x14ac:dyDescent="0.35"/>
  <cols>
    <col min="1" max="1" width="25.08984375" customWidth="1"/>
    <col min="2" max="2" width="16.453125" bestFit="1" customWidth="1"/>
    <col min="3" max="3" width="13.36328125" bestFit="1" customWidth="1"/>
    <col min="6" max="6" width="11.08984375" bestFit="1" customWidth="1"/>
    <col min="7" max="7" width="12.08984375" bestFit="1" customWidth="1"/>
  </cols>
  <sheetData>
    <row r="1" spans="1:11" x14ac:dyDescent="0.35">
      <c r="A1" s="1" t="s">
        <v>128</v>
      </c>
    </row>
    <row r="2" spans="1:11" x14ac:dyDescent="0.35">
      <c r="A2" t="s">
        <v>10</v>
      </c>
    </row>
    <row r="3" spans="1:11" x14ac:dyDescent="0.35">
      <c r="A3" t="s">
        <v>158</v>
      </c>
    </row>
    <row r="4" spans="1:11" x14ac:dyDescent="0.35">
      <c r="A4" t="s">
        <v>2</v>
      </c>
    </row>
    <row r="5" spans="1:11" x14ac:dyDescent="0.35">
      <c r="A5" t="s">
        <v>126</v>
      </c>
    </row>
    <row r="6" spans="1:11" x14ac:dyDescent="0.35">
      <c r="A6" s="5"/>
    </row>
    <row r="7" spans="1:11" x14ac:dyDescent="0.35">
      <c r="A7" t="s">
        <v>238</v>
      </c>
      <c r="B7" s="112">
        <f>(Supuestos!B13/Supuestos!B14)*'Costos Detallados'!$B$6</f>
        <v>82800</v>
      </c>
    </row>
    <row r="8" spans="1:11" x14ac:dyDescent="0.35">
      <c r="A8" t="s">
        <v>239</v>
      </c>
      <c r="B8" s="112">
        <f>(Supuestos!B13/2.5)*'Costos Detallados'!B6</f>
        <v>66240</v>
      </c>
    </row>
    <row r="9" spans="1:11" x14ac:dyDescent="0.35">
      <c r="A9" t="s">
        <v>240</v>
      </c>
      <c r="B9" s="75">
        <v>0.3</v>
      </c>
    </row>
    <row r="10" spans="1:11" x14ac:dyDescent="0.35">
      <c r="A10" t="s">
        <v>241</v>
      </c>
      <c r="B10" s="75">
        <v>0.7</v>
      </c>
    </row>
    <row r="12" spans="1:11" x14ac:dyDescent="0.35">
      <c r="A12" s="53" t="s">
        <v>242</v>
      </c>
      <c r="B12" s="53">
        <v>1</v>
      </c>
      <c r="C12" s="53">
        <f>+B12+1</f>
        <v>2</v>
      </c>
      <c r="D12" s="53">
        <f t="shared" ref="D12:J12" si="0">+C12+1</f>
        <v>3</v>
      </c>
      <c r="E12" s="53">
        <f t="shared" si="0"/>
        <v>4</v>
      </c>
      <c r="F12" s="53">
        <f t="shared" si="0"/>
        <v>5</v>
      </c>
      <c r="G12" s="53">
        <f t="shared" si="0"/>
        <v>6</v>
      </c>
      <c r="H12" s="53">
        <f t="shared" si="0"/>
        <v>7</v>
      </c>
      <c r="I12" s="53">
        <f t="shared" si="0"/>
        <v>8</v>
      </c>
      <c r="J12" s="53">
        <f t="shared" si="0"/>
        <v>9</v>
      </c>
      <c r="K12" s="53">
        <f>+J12+1</f>
        <v>10</v>
      </c>
    </row>
    <row r="13" spans="1:11" x14ac:dyDescent="0.35">
      <c r="A13" t="s">
        <v>113</v>
      </c>
      <c r="B13" s="112">
        <f>+B7*$B$10</f>
        <v>57959.999999999993</v>
      </c>
      <c r="C13" s="112">
        <f>+B8*B10</f>
        <v>46368</v>
      </c>
      <c r="D13" s="112">
        <f>+B7*B10</f>
        <v>57959.999999999993</v>
      </c>
      <c r="E13" s="112">
        <f t="shared" ref="E13:K14" si="1">+C13</f>
        <v>46368</v>
      </c>
      <c r="F13" s="112">
        <f t="shared" si="1"/>
        <v>57959.999999999993</v>
      </c>
      <c r="G13" s="112">
        <f t="shared" si="1"/>
        <v>46368</v>
      </c>
      <c r="H13" s="112">
        <f t="shared" si="1"/>
        <v>57959.999999999993</v>
      </c>
      <c r="I13" s="112">
        <f t="shared" si="1"/>
        <v>46368</v>
      </c>
      <c r="J13" s="112">
        <f t="shared" si="1"/>
        <v>57959.999999999993</v>
      </c>
      <c r="K13" s="112">
        <f t="shared" si="1"/>
        <v>46368</v>
      </c>
    </row>
    <row r="14" spans="1:11" x14ac:dyDescent="0.35">
      <c r="A14" t="s">
        <v>114</v>
      </c>
      <c r="B14" s="112">
        <f>+B7-B13</f>
        <v>24840.000000000007</v>
      </c>
      <c r="C14" s="112">
        <f>+B8-C13</f>
        <v>19872</v>
      </c>
      <c r="D14" s="112">
        <f>+B7-D13</f>
        <v>24840.000000000007</v>
      </c>
      <c r="E14" s="112">
        <f t="shared" si="1"/>
        <v>19872</v>
      </c>
      <c r="F14" s="112">
        <f t="shared" si="1"/>
        <v>24840.000000000007</v>
      </c>
      <c r="G14" s="112">
        <f t="shared" si="1"/>
        <v>19872</v>
      </c>
      <c r="H14" s="112">
        <f t="shared" si="1"/>
        <v>24840.000000000007</v>
      </c>
      <c r="I14" s="112">
        <f t="shared" si="1"/>
        <v>19872</v>
      </c>
      <c r="J14" s="112">
        <f t="shared" si="1"/>
        <v>24840.000000000007</v>
      </c>
      <c r="K14" s="112">
        <f t="shared" si="1"/>
        <v>19872</v>
      </c>
    </row>
    <row r="15" spans="1:11" x14ac:dyDescent="0.35">
      <c r="A15" s="123" t="s">
        <v>12</v>
      </c>
      <c r="B15" s="113">
        <f>+SUM(B13:B14)</f>
        <v>82800</v>
      </c>
      <c r="C15" s="113">
        <f t="shared" ref="C15:K15" si="2">+SUM(C13:C14)</f>
        <v>66240</v>
      </c>
      <c r="D15" s="113">
        <f t="shared" si="2"/>
        <v>82800</v>
      </c>
      <c r="E15" s="113">
        <f t="shared" si="2"/>
        <v>66240</v>
      </c>
      <c r="F15" s="113">
        <f t="shared" si="2"/>
        <v>82800</v>
      </c>
      <c r="G15" s="113">
        <f t="shared" si="2"/>
        <v>66240</v>
      </c>
      <c r="H15" s="113">
        <f t="shared" si="2"/>
        <v>82800</v>
      </c>
      <c r="I15" s="113">
        <f t="shared" si="2"/>
        <v>66240</v>
      </c>
      <c r="J15" s="113">
        <f t="shared" si="2"/>
        <v>82800</v>
      </c>
      <c r="K15" s="113">
        <f t="shared" si="2"/>
        <v>66240</v>
      </c>
    </row>
    <row r="16" spans="1:11" x14ac:dyDescent="0.35">
      <c r="A16" s="5"/>
    </row>
    <row r="17" spans="1:11" x14ac:dyDescent="0.35">
      <c r="A17" s="68" t="s">
        <v>243</v>
      </c>
      <c r="B17" s="53">
        <v>1</v>
      </c>
      <c r="C17" s="53">
        <f>1+B17</f>
        <v>2</v>
      </c>
      <c r="D17" s="53">
        <f t="shared" ref="D17:K17" si="3">1+C17</f>
        <v>3</v>
      </c>
      <c r="E17" s="53">
        <f t="shared" si="3"/>
        <v>4</v>
      </c>
      <c r="F17" s="53">
        <f t="shared" si="3"/>
        <v>5</v>
      </c>
      <c r="G17" s="53">
        <f t="shared" si="3"/>
        <v>6</v>
      </c>
      <c r="H17" s="53">
        <f t="shared" si="3"/>
        <v>7</v>
      </c>
      <c r="I17" s="53">
        <f t="shared" si="3"/>
        <v>8</v>
      </c>
      <c r="J17" s="53">
        <f t="shared" si="3"/>
        <v>9</v>
      </c>
      <c r="K17" s="53">
        <f t="shared" si="3"/>
        <v>10</v>
      </c>
    </row>
    <row r="18" spans="1:11" x14ac:dyDescent="0.35">
      <c r="A18" t="s">
        <v>113</v>
      </c>
      <c r="B18" s="112">
        <f>+B13*Supuestos!$B$9</f>
        <v>840419.99999999988</v>
      </c>
      <c r="C18" s="112">
        <f>+C13*Supuestos!$B$9</f>
        <v>672336</v>
      </c>
      <c r="D18" s="112">
        <f>+D13*Supuestos!$B$9</f>
        <v>840419.99999999988</v>
      </c>
      <c r="E18" s="112">
        <f>+E13*Supuestos!$B$9</f>
        <v>672336</v>
      </c>
      <c r="F18" s="112">
        <f>+F13*Supuestos!$B$9</f>
        <v>840419.99999999988</v>
      </c>
      <c r="G18" s="112">
        <f>+G13*Supuestos!$B$9</f>
        <v>672336</v>
      </c>
      <c r="H18" s="112">
        <f>+H13*Supuestos!$B$9</f>
        <v>840419.99999999988</v>
      </c>
      <c r="I18" s="112">
        <f>+I13*Supuestos!$B$9</f>
        <v>672336</v>
      </c>
      <c r="J18" s="112">
        <f>+J13*Supuestos!$B$9</f>
        <v>840419.99999999988</v>
      </c>
      <c r="K18" s="112">
        <f>+K13*Supuestos!$B$9</f>
        <v>672336</v>
      </c>
    </row>
    <row r="19" spans="1:11" x14ac:dyDescent="0.35">
      <c r="A19" t="s">
        <v>114</v>
      </c>
      <c r="B19" s="112">
        <f>+B14*Supuestos!$B$10</f>
        <v>310156.13124579279</v>
      </c>
      <c r="C19" s="112">
        <f>+C14*Supuestos!$B$10</f>
        <v>248124.90499663417</v>
      </c>
      <c r="D19" s="112">
        <f>+D14*Supuestos!$B$10</f>
        <v>310156.13124579279</v>
      </c>
      <c r="E19" s="112">
        <f>+E14*Supuestos!$B$10</f>
        <v>248124.90499663417</v>
      </c>
      <c r="F19" s="112">
        <f>+F14*Supuestos!$B$10</f>
        <v>310156.13124579279</v>
      </c>
      <c r="G19" s="112">
        <f>+G14*Supuestos!$B$10</f>
        <v>248124.90499663417</v>
      </c>
      <c r="H19" s="112">
        <f>+H14*Supuestos!$B$10</f>
        <v>310156.13124579279</v>
      </c>
      <c r="I19" s="112">
        <f>+I14*Supuestos!$B$10</f>
        <v>248124.90499663417</v>
      </c>
      <c r="J19" s="112">
        <f>+J14*Supuestos!$B$10</f>
        <v>310156.13124579279</v>
      </c>
      <c r="K19" s="112">
        <f>+K14*Supuestos!$B$10</f>
        <v>248124.90499663417</v>
      </c>
    </row>
    <row r="20" spans="1:11" x14ac:dyDescent="0.35">
      <c r="A20" s="123" t="s">
        <v>12</v>
      </c>
      <c r="B20" s="113">
        <f>(B18+B19)</f>
        <v>1150576.1312457926</v>
      </c>
      <c r="C20" s="113">
        <f t="shared" ref="C20:K20" si="4">(C18+C19)</f>
        <v>920460.90499663423</v>
      </c>
      <c r="D20" s="113">
        <f t="shared" si="4"/>
        <v>1150576.1312457926</v>
      </c>
      <c r="E20" s="113">
        <f t="shared" si="4"/>
        <v>920460.90499663423</v>
      </c>
      <c r="F20" s="113">
        <f t="shared" si="4"/>
        <v>1150576.1312457926</v>
      </c>
      <c r="G20" s="113">
        <f t="shared" si="4"/>
        <v>920460.90499663423</v>
      </c>
      <c r="H20" s="113">
        <f t="shared" si="4"/>
        <v>1150576.1312457926</v>
      </c>
      <c r="I20" s="113">
        <f t="shared" si="4"/>
        <v>920460.90499663423</v>
      </c>
      <c r="J20" s="113">
        <f t="shared" si="4"/>
        <v>1150576.1312457926</v>
      </c>
      <c r="K20" s="113">
        <f t="shared" si="4"/>
        <v>920460.90499663423</v>
      </c>
    </row>
    <row r="21" spans="1:11" x14ac:dyDescent="0.35">
      <c r="A21" s="5"/>
    </row>
    <row r="22" spans="1:11" x14ac:dyDescent="0.35">
      <c r="A22" s="5"/>
    </row>
    <row r="23" spans="1:11" x14ac:dyDescent="0.35">
      <c r="A23" s="5"/>
    </row>
    <row r="24" spans="1:11" x14ac:dyDescent="0.35">
      <c r="A24" s="5"/>
    </row>
    <row r="25" spans="1:11" x14ac:dyDescent="0.35">
      <c r="A25" s="5"/>
    </row>
    <row r="26" spans="1:11" x14ac:dyDescent="0.35">
      <c r="A26" s="5"/>
    </row>
    <row r="27" spans="1:11" x14ac:dyDescent="0.35">
      <c r="A27" s="5"/>
    </row>
    <row r="28" spans="1:11" x14ac:dyDescent="0.35">
      <c r="A28" s="5"/>
    </row>
    <row r="29" spans="1:11" x14ac:dyDescent="0.35">
      <c r="A29" s="5"/>
    </row>
    <row r="30" spans="1:11" x14ac:dyDescent="0.35">
      <c r="A30" s="5"/>
    </row>
    <row r="31" spans="1:11" x14ac:dyDescent="0.35">
      <c r="A31" s="5"/>
    </row>
    <row r="32" spans="1:11" x14ac:dyDescent="0.35">
      <c r="A32" s="5"/>
    </row>
    <row r="33" spans="1:1" x14ac:dyDescent="0.35">
      <c r="A33" s="5"/>
    </row>
    <row r="34" spans="1:1" x14ac:dyDescent="0.35">
      <c r="A34" s="5"/>
    </row>
    <row r="35" spans="1:1" x14ac:dyDescent="0.35">
      <c r="A35" s="5"/>
    </row>
    <row r="36" spans="1:1" x14ac:dyDescent="0.35">
      <c r="A36" s="5"/>
    </row>
    <row r="37" spans="1:1" x14ac:dyDescent="0.35">
      <c r="A37" s="5"/>
    </row>
    <row r="38" spans="1:1" x14ac:dyDescent="0.35">
      <c r="A38" s="5"/>
    </row>
    <row r="39" spans="1:1" x14ac:dyDescent="0.35">
      <c r="A39" s="5"/>
    </row>
    <row r="40" spans="1:1" x14ac:dyDescent="0.35">
      <c r="A40" s="5"/>
    </row>
    <row r="41" spans="1:1" x14ac:dyDescent="0.35">
      <c r="A41" s="5"/>
    </row>
    <row r="42" spans="1:1" x14ac:dyDescent="0.35">
      <c r="A42" s="5"/>
    </row>
    <row r="43" spans="1:1" x14ac:dyDescent="0.35">
      <c r="A43" s="5"/>
    </row>
    <row r="44" spans="1:1" x14ac:dyDescent="0.35">
      <c r="A44" s="5"/>
    </row>
    <row r="45" spans="1:1" x14ac:dyDescent="0.35">
      <c r="A45" s="5"/>
    </row>
    <row r="46" spans="1:1" x14ac:dyDescent="0.35">
      <c r="A46" s="5"/>
    </row>
    <row r="47" spans="1:1" x14ac:dyDescent="0.35">
      <c r="A47" s="5"/>
    </row>
    <row r="48" spans="1:1" x14ac:dyDescent="0.35">
      <c r="A48" s="5"/>
    </row>
    <row r="49" spans="1:1" x14ac:dyDescent="0.35">
      <c r="A49" s="5"/>
    </row>
    <row r="50" spans="1:1" x14ac:dyDescent="0.35">
      <c r="A50" s="5"/>
    </row>
    <row r="51" spans="1:1" x14ac:dyDescent="0.35">
      <c r="A51" s="5"/>
    </row>
    <row r="52" spans="1:1" x14ac:dyDescent="0.35">
      <c r="A52" s="5"/>
    </row>
    <row r="53" spans="1:1" x14ac:dyDescent="0.35">
      <c r="A53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44078-349B-4E86-AD3F-355EA9ABE2D6}">
  <dimension ref="A1:M12"/>
  <sheetViews>
    <sheetView showGridLines="0" zoomScale="71" workbookViewId="0">
      <selection activeCell="A4" sqref="A4"/>
    </sheetView>
  </sheetViews>
  <sheetFormatPr baseColWidth="10" defaultRowHeight="14.5" x14ac:dyDescent="0.35"/>
  <cols>
    <col min="1" max="1" width="19.90625" bestFit="1" customWidth="1"/>
    <col min="2" max="2" width="13.81640625" bestFit="1" customWidth="1"/>
    <col min="3" max="3" width="11.36328125" bestFit="1" customWidth="1"/>
    <col min="4" max="13" width="13.36328125" bestFit="1" customWidth="1"/>
  </cols>
  <sheetData>
    <row r="1" spans="1:13" x14ac:dyDescent="0.35">
      <c r="A1" s="1" t="s">
        <v>51</v>
      </c>
    </row>
    <row r="2" spans="1:13" x14ac:dyDescent="0.35">
      <c r="A2" t="s">
        <v>10</v>
      </c>
    </row>
    <row r="3" spans="1:13" x14ac:dyDescent="0.35">
      <c r="A3" t="s">
        <v>66</v>
      </c>
    </row>
    <row r="4" spans="1:13" x14ac:dyDescent="0.35">
      <c r="A4" t="s">
        <v>2</v>
      </c>
    </row>
    <row r="6" spans="1:13" ht="11" customHeight="1" x14ac:dyDescent="0.35"/>
    <row r="7" spans="1:13" x14ac:dyDescent="0.35">
      <c r="A7" s="1" t="s">
        <v>66</v>
      </c>
    </row>
    <row r="8" spans="1:13" x14ac:dyDescent="0.35">
      <c r="A8" s="68" t="s">
        <v>11</v>
      </c>
      <c r="B8" s="57" t="s">
        <v>4</v>
      </c>
      <c r="C8" s="57" t="s">
        <v>129</v>
      </c>
      <c r="D8" s="91">
        <v>1</v>
      </c>
      <c r="E8" s="91">
        <f>1+D8</f>
        <v>2</v>
      </c>
      <c r="F8" s="91">
        <f t="shared" ref="F8:M8" si="0">1+E8</f>
        <v>3</v>
      </c>
      <c r="G8" s="91">
        <f t="shared" si="0"/>
        <v>4</v>
      </c>
      <c r="H8" s="91">
        <f t="shared" si="0"/>
        <v>5</v>
      </c>
      <c r="I8" s="91">
        <f t="shared" si="0"/>
        <v>6</v>
      </c>
      <c r="J8" s="91">
        <f t="shared" si="0"/>
        <v>7</v>
      </c>
      <c r="K8" s="91">
        <f t="shared" si="0"/>
        <v>8</v>
      </c>
      <c r="L8" s="91">
        <f>1+K8</f>
        <v>9</v>
      </c>
      <c r="M8" s="91">
        <f t="shared" si="0"/>
        <v>10</v>
      </c>
    </row>
    <row r="9" spans="1:13" x14ac:dyDescent="0.35">
      <c r="A9" t="s">
        <v>211</v>
      </c>
      <c r="B9" s="52">
        <f>+'Costos Detallados'!B12</f>
        <v>13680.484680028665</v>
      </c>
      <c r="C9" s="5">
        <v>5</v>
      </c>
      <c r="D9" s="93">
        <f>+B9/C9</f>
        <v>2736.0969360057329</v>
      </c>
      <c r="E9" s="93">
        <f t="shared" ref="E9:G9" si="1">+D9</f>
        <v>2736.0969360057329</v>
      </c>
      <c r="F9" s="93">
        <f t="shared" si="1"/>
        <v>2736.0969360057329</v>
      </c>
      <c r="G9" s="93">
        <f t="shared" si="1"/>
        <v>2736.0969360057329</v>
      </c>
      <c r="H9" s="100">
        <f>+G9</f>
        <v>2736.0969360057329</v>
      </c>
      <c r="I9" s="101"/>
      <c r="J9" s="101"/>
      <c r="K9" s="101"/>
      <c r="L9" s="101"/>
      <c r="M9" s="101"/>
    </row>
    <row r="10" spans="1:13" x14ac:dyDescent="0.35">
      <c r="A10" t="s">
        <v>206</v>
      </c>
      <c r="B10" s="52">
        <f>+'Costos Detallados'!B13</f>
        <v>2117.2178671472934</v>
      </c>
      <c r="C10" s="5">
        <f>+Supuestos!B30</f>
        <v>5</v>
      </c>
      <c r="D10" s="93">
        <f>+$B$10/$C$10</f>
        <v>423.4435734294587</v>
      </c>
      <c r="E10" s="93">
        <f>+$B$10/$C$10</f>
        <v>423.4435734294587</v>
      </c>
      <c r="F10" s="93">
        <f t="shared" ref="F10:H10" si="2">+$B$10/$C$10</f>
        <v>423.4435734294587</v>
      </c>
      <c r="G10" s="93">
        <f t="shared" si="2"/>
        <v>423.4435734294587</v>
      </c>
      <c r="H10" s="93">
        <f t="shared" si="2"/>
        <v>423.4435734294587</v>
      </c>
      <c r="I10" s="93"/>
      <c r="J10" s="93"/>
      <c r="K10" s="93"/>
      <c r="L10" s="93"/>
      <c r="M10" s="93"/>
    </row>
    <row r="11" spans="1:13" x14ac:dyDescent="0.35">
      <c r="A11" s="53" t="s">
        <v>134</v>
      </c>
      <c r="B11" s="53"/>
      <c r="C11" s="53"/>
      <c r="D11" s="102">
        <f>+SUM(D9:D10)</f>
        <v>3159.5405094351918</v>
      </c>
      <c r="E11" s="102">
        <f t="shared" ref="E11:M11" si="3">+SUM(E9:E10)</f>
        <v>3159.5405094351918</v>
      </c>
      <c r="F11" s="102">
        <f t="shared" si="3"/>
        <v>3159.5405094351918</v>
      </c>
      <c r="G11" s="102">
        <f t="shared" si="3"/>
        <v>3159.5405094351918</v>
      </c>
      <c r="H11" s="102">
        <f t="shared" si="3"/>
        <v>3159.5405094351918</v>
      </c>
      <c r="I11" s="102">
        <f t="shared" si="3"/>
        <v>0</v>
      </c>
      <c r="J11" s="102">
        <f t="shared" si="3"/>
        <v>0</v>
      </c>
      <c r="K11" s="102">
        <f t="shared" si="3"/>
        <v>0</v>
      </c>
      <c r="L11" s="102">
        <f t="shared" si="3"/>
        <v>0</v>
      </c>
      <c r="M11" s="102">
        <f t="shared" si="3"/>
        <v>0</v>
      </c>
    </row>
    <row r="12" spans="1:13" ht="15" thickBot="1" x14ac:dyDescent="0.4">
      <c r="A12" s="62" t="s">
        <v>135</v>
      </c>
      <c r="B12" s="62"/>
      <c r="C12" s="62"/>
      <c r="D12" s="95">
        <f>+B11+D11</f>
        <v>3159.5405094351918</v>
      </c>
      <c r="E12" s="95">
        <f>+D12+E11</f>
        <v>6319.0810188703836</v>
      </c>
      <c r="F12" s="95">
        <f t="shared" ref="F12:M12" si="4">+E12+F11</f>
        <v>9478.6215283055753</v>
      </c>
      <c r="G12" s="95">
        <f t="shared" si="4"/>
        <v>12638.162037740767</v>
      </c>
      <c r="H12" s="95">
        <f t="shared" si="4"/>
        <v>15797.702547175959</v>
      </c>
      <c r="I12" s="95">
        <f t="shared" si="4"/>
        <v>15797.702547175959</v>
      </c>
      <c r="J12" s="95">
        <f>+I12+J11</f>
        <v>15797.702547175959</v>
      </c>
      <c r="K12" s="95">
        <f>+J12+K11</f>
        <v>15797.702547175959</v>
      </c>
      <c r="L12" s="95">
        <f t="shared" si="4"/>
        <v>15797.702547175959</v>
      </c>
      <c r="M12" s="95">
        <f t="shared" si="4"/>
        <v>15797.702547175959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061F1-56F4-4E8F-9869-56BF59EB648F}">
  <dimension ref="A1:F75"/>
  <sheetViews>
    <sheetView showGridLines="0" zoomScale="70" zoomScaleNormal="70" workbookViewId="0">
      <selection activeCell="H11" sqref="H11"/>
    </sheetView>
  </sheetViews>
  <sheetFormatPr baseColWidth="10" defaultColWidth="11.54296875" defaultRowHeight="14.5" x14ac:dyDescent="0.35"/>
  <cols>
    <col min="1" max="1" width="19.90625" bestFit="1" customWidth="1"/>
    <col min="2" max="2" width="11.1796875" bestFit="1" customWidth="1"/>
    <col min="3" max="3" width="12.36328125" bestFit="1" customWidth="1"/>
    <col min="4" max="4" width="12.1796875" bestFit="1" customWidth="1"/>
    <col min="5" max="5" width="8.7265625" bestFit="1" customWidth="1"/>
    <col min="6" max="6" width="10.26953125" bestFit="1" customWidth="1"/>
    <col min="7" max="7" width="3.08984375" customWidth="1"/>
  </cols>
  <sheetData>
    <row r="1" spans="1:6" x14ac:dyDescent="0.35">
      <c r="A1" s="1" t="s">
        <v>62</v>
      </c>
    </row>
    <row r="2" spans="1:6" x14ac:dyDescent="0.35">
      <c r="A2" t="s">
        <v>159</v>
      </c>
    </row>
    <row r="3" spans="1:6" x14ac:dyDescent="0.35">
      <c r="A3" t="s">
        <v>52</v>
      </c>
    </row>
    <row r="4" spans="1:6" x14ac:dyDescent="0.35">
      <c r="A4" t="s">
        <v>2</v>
      </c>
    </row>
    <row r="6" spans="1:6" x14ac:dyDescent="0.35">
      <c r="A6" t="s">
        <v>137</v>
      </c>
      <c r="B6" s="32">
        <f>'Costos Detallados'!B16*Supuestos!B19</f>
        <v>369362.38259014045</v>
      </c>
    </row>
    <row r="7" spans="1:6" x14ac:dyDescent="0.35">
      <c r="A7" t="s">
        <v>53</v>
      </c>
      <c r="B7" s="32">
        <f>'Costos Detallados'!B16-'Amortización Deuda'!B6</f>
        <v>861845.55937699438</v>
      </c>
      <c r="C7" s="36"/>
    </row>
    <row r="8" spans="1:6" x14ac:dyDescent="0.35">
      <c r="A8" t="s">
        <v>54</v>
      </c>
      <c r="B8" s="3">
        <v>0.12</v>
      </c>
    </row>
    <row r="9" spans="1:6" x14ac:dyDescent="0.35">
      <c r="A9" t="s">
        <v>136</v>
      </c>
      <c r="B9" s="104">
        <v>10</v>
      </c>
    </row>
    <row r="10" spans="1:6" x14ac:dyDescent="0.35">
      <c r="A10" t="s">
        <v>212</v>
      </c>
      <c r="B10" s="32">
        <f>B7*B8</f>
        <v>103421.46712523932</v>
      </c>
      <c r="C10" s="37"/>
    </row>
    <row r="11" spans="1:6" x14ac:dyDescent="0.35">
      <c r="A11" t="s">
        <v>213</v>
      </c>
      <c r="B11" s="32">
        <f>PMT(B8,B9,-B7)</f>
        <v>152533.01596121062</v>
      </c>
      <c r="D11" s="36"/>
    </row>
    <row r="13" spans="1:6" x14ac:dyDescent="0.35">
      <c r="A13" s="38" t="s">
        <v>55</v>
      </c>
      <c r="B13" s="38" t="s">
        <v>56</v>
      </c>
      <c r="C13" s="38" t="s">
        <v>57</v>
      </c>
      <c r="D13" s="38" t="s">
        <v>58</v>
      </c>
      <c r="E13" s="38" t="s">
        <v>59</v>
      </c>
      <c r="F13" s="38" t="s">
        <v>60</v>
      </c>
    </row>
    <row r="14" spans="1:6" x14ac:dyDescent="0.35">
      <c r="A14" s="39">
        <v>1</v>
      </c>
      <c r="B14" s="40">
        <f>B7</f>
        <v>861845.55937699438</v>
      </c>
      <c r="C14" s="40">
        <f>B14*$B$8</f>
        <v>103421.46712523932</v>
      </c>
      <c r="D14" s="40">
        <f>E14-C14</f>
        <v>49111.548835971305</v>
      </c>
      <c r="E14" s="40">
        <f>$B$11</f>
        <v>152533.01596121062</v>
      </c>
      <c r="F14" s="40">
        <f>B14-D14</f>
        <v>812734.0105410231</v>
      </c>
    </row>
    <row r="15" spans="1:6" x14ac:dyDescent="0.35">
      <c r="A15" s="39">
        <v>2</v>
      </c>
      <c r="B15" s="40">
        <f t="shared" ref="B15:B23" si="0">F14</f>
        <v>812734.0105410231</v>
      </c>
      <c r="C15" s="40">
        <f t="shared" ref="C15:C23" si="1">B15*$B$8</f>
        <v>97528.081264922774</v>
      </c>
      <c r="D15" s="40">
        <f>E15-C15</f>
        <v>55004.934696287848</v>
      </c>
      <c r="E15" s="40">
        <f t="shared" ref="E15:E23" si="2">E14</f>
        <v>152533.01596121062</v>
      </c>
      <c r="F15" s="40">
        <f t="shared" ref="F15:F22" si="3">F14-D15</f>
        <v>757729.07584473526</v>
      </c>
    </row>
    <row r="16" spans="1:6" x14ac:dyDescent="0.35">
      <c r="A16" s="39">
        <v>3</v>
      </c>
      <c r="B16" s="40">
        <f t="shared" si="0"/>
        <v>757729.07584473526</v>
      </c>
      <c r="C16" s="40">
        <f t="shared" si="1"/>
        <v>90927.489101368221</v>
      </c>
      <c r="D16" s="40">
        <f>E16-C16</f>
        <v>61605.526859842401</v>
      </c>
      <c r="E16" s="40">
        <f t="shared" si="2"/>
        <v>152533.01596121062</v>
      </c>
      <c r="F16" s="40">
        <f t="shared" si="3"/>
        <v>696123.5489848929</v>
      </c>
    </row>
    <row r="17" spans="1:6" x14ac:dyDescent="0.35">
      <c r="A17" s="39">
        <v>4</v>
      </c>
      <c r="B17" s="40">
        <f t="shared" si="0"/>
        <v>696123.5489848929</v>
      </c>
      <c r="C17" s="40">
        <f t="shared" si="1"/>
        <v>83534.825878187141</v>
      </c>
      <c r="D17" s="40">
        <f>E17-C17</f>
        <v>68998.190083023481</v>
      </c>
      <c r="E17" s="40">
        <f t="shared" si="2"/>
        <v>152533.01596121062</v>
      </c>
      <c r="F17" s="40">
        <f t="shared" si="3"/>
        <v>627125.35890186939</v>
      </c>
    </row>
    <row r="18" spans="1:6" x14ac:dyDescent="0.35">
      <c r="A18" s="39">
        <v>5</v>
      </c>
      <c r="B18" s="40">
        <f t="shared" si="0"/>
        <v>627125.35890186939</v>
      </c>
      <c r="C18" s="40">
        <f t="shared" si="1"/>
        <v>75255.043068224317</v>
      </c>
      <c r="D18" s="40">
        <f>E18-C18</f>
        <v>77277.972892986305</v>
      </c>
      <c r="E18" s="40">
        <f t="shared" si="2"/>
        <v>152533.01596121062</v>
      </c>
      <c r="F18" s="40">
        <f t="shared" si="3"/>
        <v>549847.38600888313</v>
      </c>
    </row>
    <row r="19" spans="1:6" x14ac:dyDescent="0.35">
      <c r="A19" s="39">
        <v>6</v>
      </c>
      <c r="B19" s="40">
        <f t="shared" si="0"/>
        <v>549847.38600888313</v>
      </c>
      <c r="C19" s="40">
        <f t="shared" si="1"/>
        <v>65981.686321065979</v>
      </c>
      <c r="D19" s="40">
        <f t="shared" ref="D19:D23" si="4">E19-C19</f>
        <v>86551.329640144642</v>
      </c>
      <c r="E19" s="40">
        <f t="shared" si="2"/>
        <v>152533.01596121062</v>
      </c>
      <c r="F19" s="40">
        <f t="shared" si="3"/>
        <v>463296.05636873847</v>
      </c>
    </row>
    <row r="20" spans="1:6" x14ac:dyDescent="0.35">
      <c r="A20" s="39">
        <v>7</v>
      </c>
      <c r="B20" s="40">
        <f t="shared" si="0"/>
        <v>463296.05636873847</v>
      </c>
      <c r="C20" s="40">
        <f t="shared" si="1"/>
        <v>55595.526764248614</v>
      </c>
      <c r="D20" s="40">
        <f t="shared" si="4"/>
        <v>96937.489196962008</v>
      </c>
      <c r="E20" s="40">
        <f t="shared" si="2"/>
        <v>152533.01596121062</v>
      </c>
      <c r="F20" s="40">
        <f t="shared" si="3"/>
        <v>366358.56717177643</v>
      </c>
    </row>
    <row r="21" spans="1:6" x14ac:dyDescent="0.35">
      <c r="A21" s="39">
        <v>8</v>
      </c>
      <c r="B21" s="40">
        <f t="shared" si="0"/>
        <v>366358.56717177643</v>
      </c>
      <c r="C21" s="40">
        <f t="shared" si="1"/>
        <v>43963.028060613171</v>
      </c>
      <c r="D21" s="40">
        <f t="shared" si="4"/>
        <v>108569.98790059745</v>
      </c>
      <c r="E21" s="40">
        <f t="shared" si="2"/>
        <v>152533.01596121062</v>
      </c>
      <c r="F21" s="40">
        <f t="shared" si="3"/>
        <v>257788.57927117898</v>
      </c>
    </row>
    <row r="22" spans="1:6" x14ac:dyDescent="0.35">
      <c r="A22" s="39">
        <v>9</v>
      </c>
      <c r="B22" s="40">
        <f t="shared" si="0"/>
        <v>257788.57927117898</v>
      </c>
      <c r="C22" s="40">
        <f t="shared" si="1"/>
        <v>30934.629512541476</v>
      </c>
      <c r="D22" s="40">
        <f t="shared" si="4"/>
        <v>121598.38644866915</v>
      </c>
      <c r="E22" s="40">
        <f t="shared" si="2"/>
        <v>152533.01596121062</v>
      </c>
      <c r="F22" s="40">
        <f t="shared" si="3"/>
        <v>136190.19282250985</v>
      </c>
    </row>
    <row r="23" spans="1:6" x14ac:dyDescent="0.35">
      <c r="A23" s="39">
        <v>10</v>
      </c>
      <c r="B23" s="40">
        <f t="shared" si="0"/>
        <v>136190.19282250985</v>
      </c>
      <c r="C23" s="40">
        <f t="shared" si="1"/>
        <v>16342.823138701182</v>
      </c>
      <c r="D23" s="40">
        <f t="shared" si="4"/>
        <v>136190.19282250945</v>
      </c>
      <c r="E23" s="40">
        <f t="shared" si="2"/>
        <v>152533.01596121062</v>
      </c>
      <c r="F23" s="40">
        <f>F22-D23</f>
        <v>4.0745362639427185E-10</v>
      </c>
    </row>
    <row r="24" spans="1:6" ht="15" thickBot="1" x14ac:dyDescent="0.4">
      <c r="A24" s="41" t="s">
        <v>12</v>
      </c>
      <c r="B24" s="33"/>
      <c r="C24" s="33">
        <f>+SUM(C14:C23)</f>
        <v>663484.60023511213</v>
      </c>
      <c r="D24" s="33">
        <f t="shared" ref="D24:E24" si="5">+SUM(D14:D23)</f>
        <v>861845.55937699403</v>
      </c>
      <c r="E24" s="33">
        <f t="shared" si="5"/>
        <v>1525330.1596121064</v>
      </c>
      <c r="F24" s="6"/>
    </row>
    <row r="25" spans="1:6" ht="15" thickTop="1" x14ac:dyDescent="0.35">
      <c r="A25" s="39"/>
      <c r="B25" s="40"/>
      <c r="C25" s="40"/>
      <c r="D25" s="40"/>
      <c r="E25" s="40"/>
      <c r="F25" s="40"/>
    </row>
    <row r="26" spans="1:6" x14ac:dyDescent="0.35">
      <c r="A26" s="39"/>
      <c r="B26" s="40"/>
      <c r="C26" s="40"/>
      <c r="D26" s="40"/>
      <c r="E26" s="40"/>
      <c r="F26" s="40"/>
    </row>
    <row r="27" spans="1:6" x14ac:dyDescent="0.35">
      <c r="A27" s="39"/>
      <c r="B27" s="40"/>
      <c r="C27" s="40"/>
      <c r="D27" s="40"/>
      <c r="E27" s="40"/>
      <c r="F27" s="40"/>
    </row>
    <row r="28" spans="1:6" x14ac:dyDescent="0.35">
      <c r="A28" s="39"/>
      <c r="B28" s="40"/>
      <c r="C28" s="40"/>
      <c r="D28" s="40"/>
      <c r="E28" s="40"/>
      <c r="F28" s="40"/>
    </row>
    <row r="29" spans="1:6" x14ac:dyDescent="0.35">
      <c r="A29" s="39"/>
      <c r="B29" s="40"/>
      <c r="C29" s="40"/>
      <c r="D29" s="40"/>
      <c r="E29" s="40"/>
      <c r="F29" s="40"/>
    </row>
    <row r="30" spans="1:6" x14ac:dyDescent="0.35">
      <c r="A30" s="39"/>
      <c r="B30" s="40"/>
      <c r="C30" s="40"/>
      <c r="D30" s="40"/>
      <c r="E30" s="40"/>
      <c r="F30" s="40"/>
    </row>
    <row r="31" spans="1:6" x14ac:dyDescent="0.35">
      <c r="A31" s="39"/>
      <c r="B31" s="40"/>
      <c r="C31" s="40"/>
      <c r="D31" s="40"/>
      <c r="E31" s="40"/>
      <c r="F31" s="40"/>
    </row>
    <row r="32" spans="1:6" x14ac:dyDescent="0.35">
      <c r="A32" s="39"/>
      <c r="B32" s="40"/>
      <c r="C32" s="40"/>
      <c r="D32" s="40"/>
      <c r="E32" s="40"/>
      <c r="F32" s="40"/>
    </row>
    <row r="33" spans="1:6" x14ac:dyDescent="0.35">
      <c r="A33" s="39"/>
      <c r="B33" s="40"/>
      <c r="C33" s="40"/>
      <c r="D33" s="40"/>
      <c r="E33" s="40"/>
      <c r="F33" s="40"/>
    </row>
    <row r="34" spans="1:6" x14ac:dyDescent="0.35">
      <c r="A34" s="39"/>
      <c r="B34" s="40"/>
      <c r="C34" s="40"/>
      <c r="D34" s="40"/>
      <c r="E34" s="40"/>
      <c r="F34" s="40"/>
    </row>
    <row r="35" spans="1:6" x14ac:dyDescent="0.35">
      <c r="A35" s="39"/>
      <c r="B35" s="40"/>
      <c r="C35" s="40"/>
      <c r="D35" s="40"/>
      <c r="E35" s="40"/>
      <c r="F35" s="40"/>
    </row>
    <row r="36" spans="1:6" x14ac:dyDescent="0.35">
      <c r="A36" s="39"/>
      <c r="B36" s="40"/>
      <c r="C36" s="40"/>
      <c r="D36" s="40"/>
      <c r="E36" s="40"/>
      <c r="F36" s="40"/>
    </row>
    <row r="37" spans="1:6" x14ac:dyDescent="0.35">
      <c r="A37" s="39"/>
      <c r="B37" s="40"/>
      <c r="C37" s="40"/>
      <c r="D37" s="40"/>
      <c r="E37" s="40"/>
      <c r="F37" s="40"/>
    </row>
    <row r="38" spans="1:6" x14ac:dyDescent="0.35">
      <c r="A38" s="39"/>
      <c r="B38" s="40"/>
      <c r="C38" s="40"/>
      <c r="D38" s="40"/>
      <c r="E38" s="40"/>
      <c r="F38" s="40"/>
    </row>
    <row r="39" spans="1:6" x14ac:dyDescent="0.35">
      <c r="A39" s="39"/>
      <c r="B39" s="40"/>
      <c r="C39" s="40"/>
      <c r="D39" s="40"/>
      <c r="E39" s="40"/>
      <c r="F39" s="40"/>
    </row>
    <row r="40" spans="1:6" x14ac:dyDescent="0.35">
      <c r="A40" s="39"/>
      <c r="B40" s="40"/>
      <c r="C40" s="40"/>
      <c r="D40" s="40"/>
      <c r="E40" s="40"/>
      <c r="F40" s="40"/>
    </row>
    <row r="41" spans="1:6" x14ac:dyDescent="0.35">
      <c r="A41" s="39"/>
      <c r="B41" s="40"/>
      <c r="C41" s="40"/>
      <c r="D41" s="40"/>
      <c r="E41" s="40"/>
      <c r="F41" s="40"/>
    </row>
    <row r="42" spans="1:6" x14ac:dyDescent="0.35">
      <c r="A42" s="39"/>
      <c r="B42" s="40"/>
      <c r="C42" s="40"/>
      <c r="D42" s="40"/>
      <c r="E42" s="40"/>
      <c r="F42" s="40"/>
    </row>
    <row r="43" spans="1:6" x14ac:dyDescent="0.35">
      <c r="A43" s="39"/>
      <c r="B43" s="40"/>
      <c r="C43" s="40"/>
      <c r="D43" s="40"/>
      <c r="E43" s="40"/>
      <c r="F43" s="40"/>
    </row>
    <row r="44" spans="1:6" x14ac:dyDescent="0.35">
      <c r="A44" s="39"/>
      <c r="B44" s="40"/>
      <c r="C44" s="40"/>
      <c r="D44" s="40"/>
      <c r="E44" s="40"/>
      <c r="F44" s="40"/>
    </row>
    <row r="45" spans="1:6" x14ac:dyDescent="0.35">
      <c r="A45" s="39"/>
      <c r="B45" s="40"/>
      <c r="C45" s="40"/>
      <c r="D45" s="40"/>
      <c r="E45" s="40"/>
      <c r="F45" s="40"/>
    </row>
    <row r="46" spans="1:6" x14ac:dyDescent="0.35">
      <c r="A46" s="39"/>
      <c r="B46" s="40"/>
      <c r="C46" s="40"/>
      <c r="D46" s="40"/>
      <c r="E46" s="40"/>
      <c r="F46" s="40"/>
    </row>
    <row r="47" spans="1:6" x14ac:dyDescent="0.35">
      <c r="A47" s="39"/>
      <c r="B47" s="40"/>
      <c r="C47" s="40"/>
      <c r="D47" s="40"/>
      <c r="E47" s="40"/>
      <c r="F47" s="40"/>
    </row>
    <row r="48" spans="1:6" x14ac:dyDescent="0.35">
      <c r="A48" s="39"/>
      <c r="B48" s="40"/>
      <c r="C48" s="40"/>
      <c r="D48" s="40"/>
      <c r="E48" s="40"/>
      <c r="F48" s="40"/>
    </row>
    <row r="49" spans="1:6" x14ac:dyDescent="0.35">
      <c r="A49" s="39"/>
      <c r="B49" s="40"/>
      <c r="C49" s="40"/>
      <c r="D49" s="40"/>
      <c r="E49" s="40"/>
      <c r="F49" s="40"/>
    </row>
    <row r="50" spans="1:6" x14ac:dyDescent="0.35">
      <c r="A50" s="39"/>
      <c r="B50" s="40"/>
      <c r="C50" s="40"/>
      <c r="D50" s="40"/>
      <c r="E50" s="40"/>
      <c r="F50" s="40"/>
    </row>
    <row r="51" spans="1:6" x14ac:dyDescent="0.35">
      <c r="A51" s="39"/>
      <c r="B51" s="40"/>
      <c r="C51" s="40"/>
      <c r="D51" s="40"/>
      <c r="E51" s="40"/>
      <c r="F51" s="40"/>
    </row>
    <row r="52" spans="1:6" x14ac:dyDescent="0.35">
      <c r="A52" s="39"/>
      <c r="B52" s="40"/>
      <c r="C52" s="40"/>
      <c r="D52" s="40"/>
      <c r="E52" s="40"/>
      <c r="F52" s="40"/>
    </row>
    <row r="53" spans="1:6" x14ac:dyDescent="0.35">
      <c r="A53" s="39"/>
      <c r="B53" s="40"/>
      <c r="C53" s="40"/>
      <c r="D53" s="40"/>
      <c r="E53" s="40"/>
      <c r="F53" s="40"/>
    </row>
    <row r="54" spans="1:6" x14ac:dyDescent="0.35">
      <c r="A54" s="39"/>
      <c r="B54" s="40"/>
      <c r="C54" s="40"/>
      <c r="D54" s="40"/>
      <c r="E54" s="40"/>
      <c r="F54" s="40"/>
    </row>
    <row r="55" spans="1:6" x14ac:dyDescent="0.35">
      <c r="A55" s="39"/>
      <c r="B55" s="40"/>
      <c r="C55" s="40"/>
      <c r="D55" s="40"/>
      <c r="E55" s="40"/>
      <c r="F55" s="40"/>
    </row>
    <row r="56" spans="1:6" x14ac:dyDescent="0.35">
      <c r="A56" s="39"/>
      <c r="B56" s="40"/>
      <c r="C56" s="40"/>
      <c r="D56" s="40"/>
      <c r="E56" s="40"/>
      <c r="F56" s="40"/>
    </row>
    <row r="57" spans="1:6" x14ac:dyDescent="0.35">
      <c r="A57" s="39"/>
      <c r="B57" s="40"/>
      <c r="C57" s="40"/>
      <c r="D57" s="40"/>
      <c r="E57" s="40"/>
      <c r="F57" s="40"/>
    </row>
    <row r="58" spans="1:6" x14ac:dyDescent="0.35">
      <c r="A58" s="39"/>
      <c r="B58" s="40"/>
      <c r="C58" s="40"/>
      <c r="D58" s="40"/>
      <c r="E58" s="40"/>
      <c r="F58" s="40"/>
    </row>
    <row r="59" spans="1:6" x14ac:dyDescent="0.35">
      <c r="A59" s="39"/>
      <c r="B59" s="40"/>
      <c r="C59" s="40"/>
      <c r="D59" s="40"/>
      <c r="E59" s="40"/>
      <c r="F59" s="40"/>
    </row>
    <row r="60" spans="1:6" x14ac:dyDescent="0.35">
      <c r="A60" s="39"/>
      <c r="B60" s="40"/>
      <c r="C60" s="40"/>
      <c r="D60" s="40"/>
      <c r="E60" s="40"/>
      <c r="F60" s="40"/>
    </row>
    <row r="61" spans="1:6" x14ac:dyDescent="0.35">
      <c r="A61" s="39"/>
      <c r="B61" s="40"/>
      <c r="C61" s="40"/>
      <c r="D61" s="40"/>
      <c r="E61" s="40"/>
      <c r="F61" s="40"/>
    </row>
    <row r="62" spans="1:6" x14ac:dyDescent="0.35">
      <c r="A62" s="39"/>
      <c r="B62" s="40"/>
      <c r="C62" s="40"/>
      <c r="D62" s="40"/>
      <c r="E62" s="40"/>
      <c r="F62" s="40"/>
    </row>
    <row r="63" spans="1:6" x14ac:dyDescent="0.35">
      <c r="A63" s="39"/>
      <c r="B63" s="40"/>
      <c r="C63" s="40"/>
      <c r="D63" s="40"/>
      <c r="E63" s="40"/>
      <c r="F63" s="40"/>
    </row>
    <row r="64" spans="1:6" x14ac:dyDescent="0.35">
      <c r="A64" s="39"/>
      <c r="B64" s="40"/>
      <c r="C64" s="40"/>
      <c r="D64" s="40"/>
      <c r="E64" s="40"/>
      <c r="F64" s="40"/>
    </row>
    <row r="65" spans="1:6" x14ac:dyDescent="0.35">
      <c r="A65" s="39"/>
      <c r="B65" s="40"/>
      <c r="C65" s="40"/>
      <c r="D65" s="40"/>
      <c r="E65" s="40"/>
      <c r="F65" s="40"/>
    </row>
    <row r="66" spans="1:6" x14ac:dyDescent="0.35">
      <c r="A66" s="39"/>
      <c r="B66" s="40"/>
      <c r="C66" s="40"/>
      <c r="D66" s="40"/>
      <c r="E66" s="40"/>
      <c r="F66" s="40"/>
    </row>
    <row r="67" spans="1:6" x14ac:dyDescent="0.35">
      <c r="A67" s="39"/>
      <c r="B67" s="40"/>
      <c r="C67" s="40"/>
      <c r="D67" s="40"/>
      <c r="E67" s="40"/>
      <c r="F67" s="40"/>
    </row>
    <row r="68" spans="1:6" x14ac:dyDescent="0.35">
      <c r="A68" s="39"/>
      <c r="B68" s="40"/>
      <c r="C68" s="40"/>
      <c r="D68" s="40"/>
      <c r="E68" s="40"/>
      <c r="F68" s="40"/>
    </row>
    <row r="69" spans="1:6" x14ac:dyDescent="0.35">
      <c r="A69" s="39"/>
      <c r="B69" s="40"/>
      <c r="C69" s="40"/>
      <c r="D69" s="40"/>
      <c r="E69" s="40"/>
      <c r="F69" s="40"/>
    </row>
    <row r="70" spans="1:6" x14ac:dyDescent="0.35">
      <c r="A70" s="39"/>
      <c r="B70" s="40"/>
      <c r="C70" s="40"/>
      <c r="D70" s="40"/>
      <c r="E70" s="40"/>
      <c r="F70" s="40"/>
    </row>
    <row r="71" spans="1:6" x14ac:dyDescent="0.35">
      <c r="A71" s="39"/>
      <c r="B71" s="40"/>
      <c r="C71" s="40"/>
      <c r="D71" s="40"/>
      <c r="E71" s="40"/>
      <c r="F71" s="40"/>
    </row>
    <row r="72" spans="1:6" x14ac:dyDescent="0.35">
      <c r="A72" s="39"/>
      <c r="B72" s="40"/>
      <c r="C72" s="40"/>
      <c r="D72" s="40"/>
      <c r="E72" s="40"/>
      <c r="F72" s="40"/>
    </row>
    <row r="73" spans="1:6" x14ac:dyDescent="0.35">
      <c r="A73" s="39"/>
      <c r="B73" s="40"/>
      <c r="C73" s="40"/>
      <c r="D73" s="40"/>
      <c r="E73" s="40"/>
      <c r="F73" s="40"/>
    </row>
    <row r="75" spans="1:6" x14ac:dyDescent="0.35">
      <c r="A75" s="3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A687C-5F8A-4785-B28C-CCC5F4C047D3}">
  <dimension ref="A1:L33"/>
  <sheetViews>
    <sheetView showGridLines="0" topLeftCell="E15" zoomScale="74" zoomScaleNormal="90" workbookViewId="0">
      <selection activeCell="C22" sqref="C22"/>
    </sheetView>
  </sheetViews>
  <sheetFormatPr baseColWidth="10" defaultColWidth="11.54296875" defaultRowHeight="14.5" x14ac:dyDescent="0.35"/>
  <cols>
    <col min="1" max="1" width="28.1796875" bestFit="1" customWidth="1"/>
    <col min="2" max="2" width="9.1796875" bestFit="1" customWidth="1"/>
    <col min="3" max="3" width="17.54296875" bestFit="1" customWidth="1"/>
    <col min="4" max="4" width="13.81640625" bestFit="1" customWidth="1"/>
    <col min="5" max="9" width="13.36328125" bestFit="1" customWidth="1"/>
    <col min="10" max="10" width="15.90625" bestFit="1" customWidth="1"/>
    <col min="11" max="12" width="13.36328125" bestFit="1" customWidth="1"/>
  </cols>
  <sheetData>
    <row r="1" spans="1:12" x14ac:dyDescent="0.35">
      <c r="A1" s="1" t="s">
        <v>174</v>
      </c>
    </row>
    <row r="2" spans="1:12" x14ac:dyDescent="0.35">
      <c r="A2" t="s">
        <v>159</v>
      </c>
    </row>
    <row r="3" spans="1:12" x14ac:dyDescent="0.35">
      <c r="A3" t="s">
        <v>160</v>
      </c>
    </row>
    <row r="4" spans="1:12" x14ac:dyDescent="0.35">
      <c r="A4" t="s">
        <v>2</v>
      </c>
    </row>
    <row r="6" spans="1:12" x14ac:dyDescent="0.35">
      <c r="A6" s="132" t="s">
        <v>144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2" ht="15" thickBot="1" x14ac:dyDescent="0.4">
      <c r="A7" s="62" t="s">
        <v>11</v>
      </c>
      <c r="B7" s="62">
        <v>0</v>
      </c>
      <c r="C7" s="62">
        <v>1</v>
      </c>
      <c r="D7" s="62">
        <f>1+C7</f>
        <v>2</v>
      </c>
      <c r="E7" s="62">
        <f t="shared" ref="E7:K7" si="0">1+D7</f>
        <v>3</v>
      </c>
      <c r="F7" s="62">
        <f t="shared" si="0"/>
        <v>4</v>
      </c>
      <c r="G7" s="62">
        <f t="shared" si="0"/>
        <v>5</v>
      </c>
      <c r="H7" s="62">
        <f t="shared" si="0"/>
        <v>6</v>
      </c>
      <c r="I7" s="62">
        <f t="shared" si="0"/>
        <v>7</v>
      </c>
      <c r="J7" s="62">
        <f t="shared" si="0"/>
        <v>8</v>
      </c>
      <c r="K7" s="62">
        <f t="shared" si="0"/>
        <v>9</v>
      </c>
      <c r="L7" s="62">
        <f>1+K7</f>
        <v>10</v>
      </c>
    </row>
    <row r="8" spans="1:12" x14ac:dyDescent="0.35">
      <c r="A8" s="4" t="s">
        <v>139</v>
      </c>
      <c r="B8" s="4"/>
      <c r="C8" s="111">
        <f>+'Producción e Ingresos'!B20</f>
        <v>1150576.1312457926</v>
      </c>
      <c r="D8" s="111">
        <f>+'Producción e Ingresos'!C20*(1+Supuestos!$B$21)^1</f>
        <v>938870.12309656688</v>
      </c>
      <c r="E8" s="111">
        <f>+'Producción e Ingresos'!D20*(1+Supuestos!$B$21)^2</f>
        <v>1197059.4069481227</v>
      </c>
      <c r="F8" s="111">
        <f>+'Producción e Ingresos'!E20*(1+Supuestos!$B$21)^3</f>
        <v>976800.47606966819</v>
      </c>
      <c r="G8" s="111">
        <f>+'Producción e Ingresos'!F20*(1+Supuestos!$B$21)^4</f>
        <v>1245420.6069888268</v>
      </c>
      <c r="H8" s="111">
        <f>+'Producción e Ingresos'!G20*(1+Supuestos!$B$21)^5</f>
        <v>1016263.2153028828</v>
      </c>
      <c r="I8" s="111">
        <f>+'Producción e Ingresos'!H20*(1+Supuestos!$B$21)^6</f>
        <v>1295735.5995111754</v>
      </c>
      <c r="J8" s="111">
        <f>+'Producción e Ingresos'!I20*(1+Supuestos!$B$21)^7</f>
        <v>1057320.2492011192</v>
      </c>
      <c r="K8" s="111">
        <f>+'Producción e Ingresos'!J20*(1+Supuestos!$B$21)^8</f>
        <v>1348083.3177314268</v>
      </c>
      <c r="L8" s="111">
        <f>+'Producción e Ingresos'!K20*(1+Supuestos!$B$21)^9</f>
        <v>1100035.9872688444</v>
      </c>
    </row>
    <row r="9" spans="1:12" x14ac:dyDescent="0.35">
      <c r="A9" s="1" t="s">
        <v>167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</row>
    <row r="10" spans="1:12" x14ac:dyDescent="0.35">
      <c r="A10" t="s">
        <v>88</v>
      </c>
      <c r="C10" s="112">
        <f>+'Costos Detallados'!C9</f>
        <v>322070.22271522874</v>
      </c>
      <c r="D10" s="112">
        <f>+C10*(1+Supuestos!$B$21)</f>
        <v>328511.62716953334</v>
      </c>
      <c r="E10" s="112">
        <f>+D10*(1+Supuestos!$B$21)</f>
        <v>335081.85971292399</v>
      </c>
      <c r="F10" s="112">
        <f>+E10*(1+Supuestos!$B$21)</f>
        <v>341783.4969071825</v>
      </c>
      <c r="G10" s="112">
        <f>+F10*(1+Supuestos!$B$21)</f>
        <v>348619.16684532614</v>
      </c>
      <c r="H10" s="112">
        <f>+G10*(1+Supuestos!$B$21)</f>
        <v>355591.55018223269</v>
      </c>
      <c r="I10" s="112">
        <f>+H10*(1+Supuestos!$B$21)</f>
        <v>362703.38118587737</v>
      </c>
      <c r="J10" s="112">
        <f>+I10*(1+Supuestos!$B$21)</f>
        <v>369957.44880959491</v>
      </c>
      <c r="K10" s="112">
        <f>+J10*(1+Supuestos!$B$21)</f>
        <v>377356.59778578678</v>
      </c>
      <c r="L10" s="112">
        <f>+K10*(1+Supuestos!$B$21)</f>
        <v>384903.72974150255</v>
      </c>
    </row>
    <row r="11" spans="1:12" x14ac:dyDescent="0.35">
      <c r="A11" t="s">
        <v>96</v>
      </c>
      <c r="C11" s="112">
        <f>+'Costos Detallados'!C10</f>
        <v>146724.27960304881</v>
      </c>
      <c r="D11" s="112">
        <f>C11*(1+Supuestos!$B$21)</f>
        <v>149658.76519510979</v>
      </c>
      <c r="E11" s="112">
        <f>D11*(1+Supuestos!$B$21)</f>
        <v>152651.94049901198</v>
      </c>
      <c r="F11" s="112">
        <f>E11*(1+Supuestos!$B$21)</f>
        <v>155704.97930899222</v>
      </c>
      <c r="G11" s="112">
        <f>F11*(1+Supuestos!$B$21)</f>
        <v>158819.07889517208</v>
      </c>
      <c r="H11" s="112">
        <f>G11*(1+Supuestos!$B$21)</f>
        <v>161995.46047307551</v>
      </c>
      <c r="I11" s="112">
        <f>H11*(1+Supuestos!$B$21)</f>
        <v>165235.36968253701</v>
      </c>
      <c r="J11" s="112">
        <f>I11*(1+Supuestos!$B$21)</f>
        <v>168540.07707618776</v>
      </c>
      <c r="K11" s="112">
        <f>J11*(1+Supuestos!$B$21)</f>
        <v>171910.87861771151</v>
      </c>
      <c r="L11" s="112">
        <f>K11*(1+Supuestos!$B$21)</f>
        <v>175349.09619006576</v>
      </c>
    </row>
    <row r="12" spans="1:12" x14ac:dyDescent="0.35">
      <c r="A12" t="s">
        <v>110</v>
      </c>
      <c r="C12" s="112">
        <f>+'Costos Detallados'!C14</f>
        <v>52116.13211439491</v>
      </c>
      <c r="D12" s="112">
        <f>+C12*(1+Supuestos!$B$21)</f>
        <v>53158.454756682811</v>
      </c>
      <c r="E12" s="112">
        <f>+D12*(1+Supuestos!$B$21)</f>
        <v>54221.623851816468</v>
      </c>
      <c r="F12" s="112">
        <f>+E12*(1+Supuestos!$B$21)</f>
        <v>55306.056328852799</v>
      </c>
      <c r="G12" s="112">
        <f>+F12*(1+Supuestos!$B$21)</f>
        <v>56412.177455429854</v>
      </c>
      <c r="H12" s="112">
        <f>+G12*(1+Supuestos!$B$21)</f>
        <v>57540.421004538453</v>
      </c>
      <c r="I12" s="112">
        <f>+H12*(1+Supuestos!$B$21)</f>
        <v>58691.229424629222</v>
      </c>
      <c r="J12" s="112">
        <f>+I12*(1+Supuestos!$B$21)</f>
        <v>59865.054013121808</v>
      </c>
      <c r="K12" s="112">
        <f>+J12*(1+Supuestos!$B$21)</f>
        <v>61062.355093384242</v>
      </c>
      <c r="L12" s="112">
        <f>+K12*(1+Supuestos!$B$21)</f>
        <v>62283.60219525193</v>
      </c>
    </row>
    <row r="13" spans="1:12" x14ac:dyDescent="0.35">
      <c r="A13" s="53" t="s">
        <v>168</v>
      </c>
      <c r="B13" s="53"/>
      <c r="C13" s="113">
        <f>+SUM(C10:C12)</f>
        <v>520910.63443267246</v>
      </c>
      <c r="D13" s="113">
        <f t="shared" ref="D13:L13" si="1">+SUM(D10:D12)</f>
        <v>531328.84712132602</v>
      </c>
      <c r="E13" s="113">
        <f t="shared" si="1"/>
        <v>541955.42406375252</v>
      </c>
      <c r="F13" s="113">
        <f t="shared" si="1"/>
        <v>552794.53254502756</v>
      </c>
      <c r="G13" s="113">
        <f t="shared" si="1"/>
        <v>563850.42319592799</v>
      </c>
      <c r="H13" s="113">
        <f t="shared" si="1"/>
        <v>575127.43165984668</v>
      </c>
      <c r="I13" s="113">
        <f t="shared" si="1"/>
        <v>586629.98029304366</v>
      </c>
      <c r="J13" s="113">
        <f t="shared" si="1"/>
        <v>598362.57989890443</v>
      </c>
      <c r="K13" s="113">
        <f t="shared" si="1"/>
        <v>610329.8314968826</v>
      </c>
      <c r="L13" s="113">
        <f t="shared" si="1"/>
        <v>622536.42812682025</v>
      </c>
    </row>
    <row r="14" spans="1:12" x14ac:dyDescent="0.35">
      <c r="A14" s="69" t="s">
        <v>166</v>
      </c>
      <c r="B14" s="69"/>
      <c r="C14" s="114">
        <f t="shared" ref="C14:L14" si="2">+C8-C13</f>
        <v>629665.49681312009</v>
      </c>
      <c r="D14" s="114">
        <f t="shared" si="2"/>
        <v>407541.27597524086</v>
      </c>
      <c r="E14" s="114">
        <f t="shared" si="2"/>
        <v>655103.98288437014</v>
      </c>
      <c r="F14" s="114">
        <f t="shared" si="2"/>
        <v>424005.94352464064</v>
      </c>
      <c r="G14" s="114">
        <f t="shared" si="2"/>
        <v>681570.18379289878</v>
      </c>
      <c r="H14" s="114">
        <f t="shared" si="2"/>
        <v>441135.78364303615</v>
      </c>
      <c r="I14" s="114">
        <f t="shared" si="2"/>
        <v>709105.61921813176</v>
      </c>
      <c r="J14" s="114">
        <f t="shared" si="2"/>
        <v>458957.66930221475</v>
      </c>
      <c r="K14" s="114">
        <f t="shared" si="2"/>
        <v>737753.48623454419</v>
      </c>
      <c r="L14" s="114">
        <f t="shared" si="2"/>
        <v>477499.55914202414</v>
      </c>
    </row>
    <row r="15" spans="1:12" x14ac:dyDescent="0.35">
      <c r="A15" t="s">
        <v>157</v>
      </c>
      <c r="C15" s="112">
        <f>+'Costos Detallados'!$G$111</f>
        <v>186.84284814662004</v>
      </c>
      <c r="D15" s="112">
        <f>+'Costos Detallados'!$G$111</f>
        <v>186.84284814662004</v>
      </c>
      <c r="E15" s="112">
        <f>+'Costos Detallados'!$G$111</f>
        <v>186.84284814662004</v>
      </c>
      <c r="F15" s="112">
        <f>+'Costos Detallados'!$G$111</f>
        <v>186.84284814662004</v>
      </c>
      <c r="G15" s="112">
        <f>+'Costos Detallados'!$G$111</f>
        <v>186.84284814662004</v>
      </c>
      <c r="H15" s="112">
        <f>+'Costos Detallados'!$G$111</f>
        <v>186.84284814662004</v>
      </c>
      <c r="I15" s="112">
        <f>+'Costos Detallados'!$G$111</f>
        <v>186.84284814662004</v>
      </c>
      <c r="J15" s="112">
        <f>+'Costos Detallados'!$G$111</f>
        <v>186.84284814662004</v>
      </c>
      <c r="K15" s="112">
        <f>+'Costos Detallados'!$G$111</f>
        <v>186.84284814662004</v>
      </c>
      <c r="L15" s="112">
        <f>+'Costos Detallados'!$G$111</f>
        <v>186.84284814662004</v>
      </c>
    </row>
    <row r="16" spans="1:12" x14ac:dyDescent="0.35">
      <c r="A16" t="s">
        <v>66</v>
      </c>
      <c r="C16" s="112">
        <f>+Depreciaciones!D11</f>
        <v>3159.5405094351918</v>
      </c>
      <c r="D16" s="112">
        <f>+Depreciaciones!E11</f>
        <v>3159.5405094351918</v>
      </c>
      <c r="E16" s="112">
        <f>+Depreciaciones!F11</f>
        <v>3159.5405094351918</v>
      </c>
      <c r="F16" s="112">
        <f>+Depreciaciones!G11</f>
        <v>3159.5405094351918</v>
      </c>
      <c r="G16" s="112">
        <f>+Depreciaciones!H11</f>
        <v>3159.5405094351918</v>
      </c>
      <c r="H16" s="112">
        <f>+Depreciaciones!I11</f>
        <v>0</v>
      </c>
      <c r="I16" s="112">
        <f>+Depreciaciones!J11</f>
        <v>0</v>
      </c>
      <c r="J16" s="112">
        <f>+Depreciaciones!K11</f>
        <v>0</v>
      </c>
      <c r="K16" s="112">
        <f>+Depreciaciones!L11</f>
        <v>0</v>
      </c>
      <c r="L16" s="112">
        <f>+Depreciaciones!M11</f>
        <v>0</v>
      </c>
    </row>
    <row r="17" spans="1:12" x14ac:dyDescent="0.35">
      <c r="A17" t="s">
        <v>214</v>
      </c>
      <c r="C17" s="112">
        <f>+'Costos Detallados'!G112</f>
        <v>18751.780092731104</v>
      </c>
      <c r="D17" s="112">
        <f>+C17*(1+Supuestos!$B$21)</f>
        <v>19126.815694585726</v>
      </c>
      <c r="E17" s="112">
        <f>+D17*(1+Supuestos!$B$21)</f>
        <v>19509.352008477443</v>
      </c>
      <c r="F17" s="112">
        <f>+E17*(1+Supuestos!$B$21)</f>
        <v>19899.539048646991</v>
      </c>
      <c r="G17" s="112">
        <f>+F17*(1+Supuestos!$B$21)</f>
        <v>20297.529829619933</v>
      </c>
      <c r="H17" s="112">
        <f>+G17*(1+Supuestos!$B$21)</f>
        <v>20703.480426212333</v>
      </c>
      <c r="I17" s="112">
        <f>+H17*(1+Supuestos!$B$21)</f>
        <v>21117.550034736578</v>
      </c>
      <c r="J17" s="112">
        <f>+I17*(1+Supuestos!$B$21)</f>
        <v>21539.90103543131</v>
      </c>
      <c r="K17" s="112">
        <f>+J17*(1+Supuestos!$B$21)</f>
        <v>21970.699056139936</v>
      </c>
      <c r="L17" s="112">
        <f>+K17*(1+Supuestos!$B$21)</f>
        <v>22410.113037262734</v>
      </c>
    </row>
    <row r="18" spans="1:12" x14ac:dyDescent="0.35">
      <c r="A18" s="53" t="s">
        <v>165</v>
      </c>
      <c r="B18" s="2"/>
      <c r="C18" s="113">
        <f>+SUM(C15:C17)</f>
        <v>22098.163450312917</v>
      </c>
      <c r="D18" s="113">
        <f t="shared" ref="D18:L18" si="3">+SUM(D15:D17)</f>
        <v>22473.19905216754</v>
      </c>
      <c r="E18" s="113">
        <f t="shared" si="3"/>
        <v>22855.735366059256</v>
      </c>
      <c r="F18" s="113">
        <f t="shared" si="3"/>
        <v>23245.922406228805</v>
      </c>
      <c r="G18" s="113">
        <f t="shared" si="3"/>
        <v>23643.913187201746</v>
      </c>
      <c r="H18" s="113">
        <f t="shared" si="3"/>
        <v>20890.323274358954</v>
      </c>
      <c r="I18" s="113">
        <f t="shared" si="3"/>
        <v>21304.392882883199</v>
      </c>
      <c r="J18" s="113">
        <f t="shared" si="3"/>
        <v>21726.743883577932</v>
      </c>
      <c r="K18" s="113">
        <f t="shared" si="3"/>
        <v>22157.541904286558</v>
      </c>
      <c r="L18" s="113">
        <f t="shared" si="3"/>
        <v>22596.955885409356</v>
      </c>
    </row>
    <row r="19" spans="1:12" x14ac:dyDescent="0.35">
      <c r="A19" s="1" t="s">
        <v>169</v>
      </c>
      <c r="C19" s="115">
        <f t="shared" ref="C19:L19" si="4">+C14-C18</f>
        <v>607567.33336280717</v>
      </c>
      <c r="D19" s="115">
        <f t="shared" si="4"/>
        <v>385068.07692307333</v>
      </c>
      <c r="E19" s="115">
        <f t="shared" si="4"/>
        <v>632248.24751831091</v>
      </c>
      <c r="F19" s="115">
        <f t="shared" si="4"/>
        <v>400760.02111841185</v>
      </c>
      <c r="G19" s="115">
        <f t="shared" si="4"/>
        <v>657926.27060569706</v>
      </c>
      <c r="H19" s="115">
        <f t="shared" si="4"/>
        <v>420245.46036867722</v>
      </c>
      <c r="I19" s="115">
        <f t="shared" si="4"/>
        <v>687801.22633524856</v>
      </c>
      <c r="J19" s="115">
        <f t="shared" si="4"/>
        <v>437230.92541863682</v>
      </c>
      <c r="K19" s="115">
        <f t="shared" si="4"/>
        <v>715595.9443302576</v>
      </c>
      <c r="L19" s="115">
        <f t="shared" si="4"/>
        <v>454902.60325661476</v>
      </c>
    </row>
    <row r="20" spans="1:12" x14ac:dyDescent="0.35">
      <c r="A20" t="s">
        <v>61</v>
      </c>
      <c r="C20" s="112">
        <f>+'Amortización Deuda'!C14</f>
        <v>103421.46712523932</v>
      </c>
      <c r="D20" s="112">
        <f>+'Amortización Deuda'!C15</f>
        <v>97528.081264922774</v>
      </c>
      <c r="E20" s="112">
        <f>+'Amortización Deuda'!C16</f>
        <v>90927.489101368221</v>
      </c>
      <c r="F20" s="112">
        <f>+'Amortización Deuda'!C17</f>
        <v>83534.825878187141</v>
      </c>
      <c r="G20" s="112">
        <f>+'Amortización Deuda'!C18</f>
        <v>75255.043068224317</v>
      </c>
      <c r="H20" s="112">
        <f>+'Amortización Deuda'!C19</f>
        <v>65981.686321065979</v>
      </c>
      <c r="I20" s="112">
        <f>+'Amortización Deuda'!C20</f>
        <v>55595.526764248614</v>
      </c>
      <c r="J20" s="112">
        <f>+'Amortización Deuda'!C21</f>
        <v>43963.028060613171</v>
      </c>
      <c r="K20" s="112">
        <f>+'Amortización Deuda'!C22</f>
        <v>30934.629512541476</v>
      </c>
      <c r="L20" s="112">
        <f>+'Amortización Deuda'!C23</f>
        <v>16342.823138701182</v>
      </c>
    </row>
    <row r="21" spans="1:12" x14ac:dyDescent="0.35">
      <c r="A21" s="1" t="s">
        <v>140</v>
      </c>
      <c r="B21" s="1"/>
      <c r="C21" s="115">
        <f>+C19-C20</f>
        <v>504145.86623756785</v>
      </c>
      <c r="D21" s="115">
        <f t="shared" ref="D21:L21" si="5">+D19-D20</f>
        <v>287539.99565815052</v>
      </c>
      <c r="E21" s="115">
        <f t="shared" si="5"/>
        <v>541320.75841694267</v>
      </c>
      <c r="F21" s="115">
        <f t="shared" si="5"/>
        <v>317225.19524022471</v>
      </c>
      <c r="G21" s="115">
        <f t="shared" si="5"/>
        <v>582671.22753747273</v>
      </c>
      <c r="H21" s="115">
        <f t="shared" si="5"/>
        <v>354263.77404761122</v>
      </c>
      <c r="I21" s="115">
        <f t="shared" si="5"/>
        <v>632205.69957099995</v>
      </c>
      <c r="J21" s="115">
        <f t="shared" si="5"/>
        <v>393267.89735802368</v>
      </c>
      <c r="K21" s="115">
        <f t="shared" si="5"/>
        <v>684661.31481771613</v>
      </c>
      <c r="L21" s="115">
        <f t="shared" si="5"/>
        <v>438559.78011791356</v>
      </c>
    </row>
    <row r="22" spans="1:12" x14ac:dyDescent="0.35">
      <c r="A22" t="s">
        <v>64</v>
      </c>
      <c r="B22" s="75">
        <v>0.2</v>
      </c>
      <c r="C22" s="112">
        <f>+IF(C21&gt;$B$22,(C21-$B$22)*$B$22,0)</f>
        <v>100829.13324751357</v>
      </c>
      <c r="D22" s="112">
        <f t="shared" ref="D22:L22" si="6">+IF(D21&gt;$B$22,(D21-$B$22)*$B$22,0)</f>
        <v>57507.959131630108</v>
      </c>
      <c r="E22" s="112">
        <f t="shared" si="6"/>
        <v>108264.11168338855</v>
      </c>
      <c r="F22" s="112">
        <f t="shared" si="6"/>
        <v>63444.999048044941</v>
      </c>
      <c r="G22" s="112">
        <f t="shared" si="6"/>
        <v>116534.20550749457</v>
      </c>
      <c r="H22" s="112">
        <f t="shared" si="6"/>
        <v>70852.714809522251</v>
      </c>
      <c r="I22" s="112">
        <f t="shared" si="6"/>
        <v>126441.09991420001</v>
      </c>
      <c r="J22" s="112">
        <f t="shared" si="6"/>
        <v>78653.539471604745</v>
      </c>
      <c r="K22" s="112">
        <f t="shared" si="6"/>
        <v>136932.22296354323</v>
      </c>
      <c r="L22" s="112">
        <f t="shared" si="6"/>
        <v>87711.916023582715</v>
      </c>
    </row>
    <row r="23" spans="1:12" x14ac:dyDescent="0.35">
      <c r="A23" s="53" t="s">
        <v>142</v>
      </c>
      <c r="B23" s="53"/>
      <c r="C23" s="113">
        <f>+C21-C22</f>
        <v>403316.7329900543</v>
      </c>
      <c r="D23" s="113">
        <f t="shared" ref="D23:I23" si="7">+D21-D22</f>
        <v>230032.03652652042</v>
      </c>
      <c r="E23" s="113">
        <f t="shared" si="7"/>
        <v>433056.64673355414</v>
      </c>
      <c r="F23" s="113">
        <f t="shared" si="7"/>
        <v>253780.19619217978</v>
      </c>
      <c r="G23" s="113">
        <f t="shared" si="7"/>
        <v>466137.02202997816</v>
      </c>
      <c r="H23" s="113">
        <f t="shared" si="7"/>
        <v>283411.05923808896</v>
      </c>
      <c r="I23" s="113">
        <f t="shared" si="7"/>
        <v>505764.59965679992</v>
      </c>
      <c r="J23" s="113">
        <f>+J21-J22</f>
        <v>314614.35788641893</v>
      </c>
      <c r="K23" s="113">
        <f t="shared" ref="K23" si="8">+K21-K22</f>
        <v>547729.09185417288</v>
      </c>
      <c r="L23" s="113">
        <f t="shared" ref="L23" si="9">+L21-L22</f>
        <v>350847.86409433081</v>
      </c>
    </row>
    <row r="24" spans="1:12" x14ac:dyDescent="0.35">
      <c r="A24" s="69" t="s">
        <v>143</v>
      </c>
      <c r="B24" s="69"/>
      <c r="C24" s="114">
        <f>+C23</f>
        <v>403316.7329900543</v>
      </c>
      <c r="D24" s="114">
        <f t="shared" ref="D24:L24" si="10">+D23</f>
        <v>230032.03652652042</v>
      </c>
      <c r="E24" s="114">
        <f t="shared" si="10"/>
        <v>433056.64673355414</v>
      </c>
      <c r="F24" s="114">
        <f t="shared" si="10"/>
        <v>253780.19619217978</v>
      </c>
      <c r="G24" s="114">
        <f t="shared" si="10"/>
        <v>466137.02202997816</v>
      </c>
      <c r="H24" s="114">
        <f t="shared" si="10"/>
        <v>283411.05923808896</v>
      </c>
      <c r="I24" s="114">
        <f t="shared" si="10"/>
        <v>505764.59965679992</v>
      </c>
      <c r="J24" s="114">
        <f t="shared" si="10"/>
        <v>314614.35788641893</v>
      </c>
      <c r="K24" s="114">
        <f t="shared" si="10"/>
        <v>547729.09185417288</v>
      </c>
      <c r="L24" s="114">
        <f t="shared" si="10"/>
        <v>350847.86409433081</v>
      </c>
    </row>
    <row r="25" spans="1:12" ht="15" thickBot="1" x14ac:dyDescent="0.4">
      <c r="A25" s="62" t="s">
        <v>220</v>
      </c>
      <c r="B25" s="55"/>
      <c r="C25" s="116">
        <f>+C24</f>
        <v>403316.7329900543</v>
      </c>
      <c r="D25" s="116">
        <f>+C25+D24</f>
        <v>633348.76951657468</v>
      </c>
      <c r="E25" s="116">
        <f t="shared" ref="E25:L25" si="11">+D25+E24</f>
        <v>1066405.4162501288</v>
      </c>
      <c r="F25" s="116">
        <f t="shared" si="11"/>
        <v>1320185.6124423086</v>
      </c>
      <c r="G25" s="116">
        <f t="shared" si="11"/>
        <v>1786322.6344722868</v>
      </c>
      <c r="H25" s="116">
        <f t="shared" si="11"/>
        <v>2069733.6937103758</v>
      </c>
      <c r="I25" s="116">
        <f t="shared" si="11"/>
        <v>2575498.2933671759</v>
      </c>
      <c r="J25" s="116">
        <f t="shared" si="11"/>
        <v>2890112.651253595</v>
      </c>
      <c r="K25" s="116">
        <f t="shared" si="11"/>
        <v>3437841.7431077678</v>
      </c>
      <c r="L25" s="116">
        <f t="shared" si="11"/>
        <v>3788689.6072020987</v>
      </c>
    </row>
    <row r="27" spans="1:12" x14ac:dyDescent="0.35">
      <c r="A27" t="s">
        <v>161</v>
      </c>
      <c r="C27" s="77">
        <f t="shared" ref="C27:L27" si="12">+(C24/C8)*1</f>
        <v>0.35053459048673369</v>
      </c>
      <c r="D27" s="77">
        <f t="shared" si="12"/>
        <v>0.24500943300638039</v>
      </c>
      <c r="E27" s="77">
        <f t="shared" si="12"/>
        <v>0.36176704699863044</v>
      </c>
      <c r="F27" s="77">
        <f t="shared" si="12"/>
        <v>0.25980760903527594</v>
      </c>
      <c r="G27" s="77">
        <f t="shared" si="12"/>
        <v>0.37428080073044762</v>
      </c>
      <c r="H27" s="77">
        <f t="shared" si="12"/>
        <v>0.2788756445874333</v>
      </c>
      <c r="I27" s="77">
        <f t="shared" si="12"/>
        <v>0.39033009500364341</v>
      </c>
      <c r="J27" s="77">
        <f t="shared" si="12"/>
        <v>0.29755824512406009</v>
      </c>
      <c r="K27" s="77">
        <f t="shared" si="12"/>
        <v>0.4063021065907847</v>
      </c>
      <c r="L27" s="77">
        <f t="shared" si="12"/>
        <v>0.31894216930612562</v>
      </c>
    </row>
    <row r="29" spans="1:12" x14ac:dyDescent="0.35">
      <c r="A29" t="s">
        <v>162</v>
      </c>
      <c r="C29" s="78">
        <f>+AVERAGE(C27:L27)</f>
        <v>0.32834077408695156</v>
      </c>
    </row>
    <row r="31" spans="1:12" x14ac:dyDescent="0.35">
      <c r="C31" s="112">
        <f>+C10+C11+C12+C15+C16+C17+C20</f>
        <v>646430.26500822464</v>
      </c>
      <c r="D31" s="112">
        <f t="shared" ref="D31:L31" si="13">+D10+D11+D12+D15+D16+D17+D20</f>
        <v>651330.12743841624</v>
      </c>
      <c r="E31" s="112">
        <f t="shared" si="13"/>
        <v>655738.64853117999</v>
      </c>
      <c r="F31" s="112">
        <f t="shared" si="13"/>
        <v>659575.2808294436</v>
      </c>
      <c r="G31" s="112">
        <f t="shared" si="13"/>
        <v>662749.37945135403</v>
      </c>
      <c r="H31" s="112">
        <f t="shared" si="13"/>
        <v>661999.44125527155</v>
      </c>
      <c r="I31" s="112">
        <f t="shared" si="13"/>
        <v>663529.89994017547</v>
      </c>
      <c r="J31" s="112">
        <f t="shared" si="13"/>
        <v>664052.3518430955</v>
      </c>
      <c r="K31" s="112">
        <f t="shared" si="13"/>
        <v>663422.00291371054</v>
      </c>
      <c r="L31" s="112">
        <f t="shared" si="13"/>
        <v>661476.20715093066</v>
      </c>
    </row>
    <row r="32" spans="1:12" x14ac:dyDescent="0.35">
      <c r="C32" s="32">
        <f>+C8-C31</f>
        <v>504145.86623756797</v>
      </c>
      <c r="D32" s="32">
        <f t="shared" ref="D32:L32" si="14">+D8-D31</f>
        <v>287539.99565815064</v>
      </c>
      <c r="E32" s="32">
        <f t="shared" si="14"/>
        <v>541320.75841694267</v>
      </c>
      <c r="F32" s="32">
        <f t="shared" si="14"/>
        <v>317225.1952402246</v>
      </c>
      <c r="G32" s="32">
        <f t="shared" si="14"/>
        <v>582671.22753747273</v>
      </c>
      <c r="H32" s="32">
        <f t="shared" si="14"/>
        <v>354263.77404761128</v>
      </c>
      <c r="I32" s="32">
        <f t="shared" si="14"/>
        <v>632205.69957099995</v>
      </c>
      <c r="J32" s="32">
        <f t="shared" si="14"/>
        <v>393267.89735802368</v>
      </c>
      <c r="K32" s="32">
        <f t="shared" si="14"/>
        <v>684661.31481771625</v>
      </c>
      <c r="L32" s="32">
        <f t="shared" si="14"/>
        <v>438559.78011791373</v>
      </c>
    </row>
    <row r="33" spans="3:3" x14ac:dyDescent="0.35">
      <c r="C33" s="37"/>
    </row>
  </sheetData>
  <mergeCells count="1">
    <mergeCell ref="A6:L6"/>
  </mergeCells>
  <pageMargins left="0.7" right="0.7" top="0.75" bottom="0.75" header="0.3" footer="0.3"/>
  <ignoredErrors>
    <ignoredError sqref="C22:L22 D11:L11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71A1D-0E51-474E-90DA-DBDD25FE173A}">
  <dimension ref="A1:M43"/>
  <sheetViews>
    <sheetView showGridLines="0" zoomScale="80" zoomScaleNormal="80" workbookViewId="0">
      <selection activeCell="D29" sqref="D29:M29"/>
    </sheetView>
  </sheetViews>
  <sheetFormatPr baseColWidth="10" defaultColWidth="11.54296875" defaultRowHeight="14.5" x14ac:dyDescent="0.35"/>
  <cols>
    <col min="1" max="1" width="28.1796875" bestFit="1" customWidth="1"/>
    <col min="2" max="2" width="15" customWidth="1"/>
    <col min="3" max="9" width="13.453125" bestFit="1" customWidth="1"/>
    <col min="10" max="10" width="17.26953125" bestFit="1" customWidth="1"/>
    <col min="11" max="12" width="13.36328125" bestFit="1" customWidth="1"/>
  </cols>
  <sheetData>
    <row r="1" spans="1:13" x14ac:dyDescent="0.35">
      <c r="A1" s="1" t="s">
        <v>207</v>
      </c>
    </row>
    <row r="2" spans="1:13" x14ac:dyDescent="0.35">
      <c r="A2" t="s">
        <v>159</v>
      </c>
    </row>
    <row r="3" spans="1:13" x14ac:dyDescent="0.35">
      <c r="A3" t="s">
        <v>63</v>
      </c>
    </row>
    <row r="4" spans="1:13" x14ac:dyDescent="0.35">
      <c r="A4" t="s">
        <v>2</v>
      </c>
    </row>
    <row r="5" spans="1:13" x14ac:dyDescent="0.35">
      <c r="C5" t="s">
        <v>215</v>
      </c>
    </row>
    <row r="6" spans="1:13" x14ac:dyDescent="0.35">
      <c r="A6" s="53" t="s">
        <v>22</v>
      </c>
      <c r="B6" s="53"/>
      <c r="C6" s="91">
        <v>0</v>
      </c>
      <c r="D6" s="91">
        <v>1</v>
      </c>
      <c r="E6" s="91">
        <v>2</v>
      </c>
      <c r="F6" s="91">
        <v>3</v>
      </c>
      <c r="G6" s="91">
        <v>4</v>
      </c>
      <c r="H6" s="91">
        <v>5</v>
      </c>
      <c r="I6" s="91">
        <v>6</v>
      </c>
      <c r="J6" s="91">
        <v>7</v>
      </c>
      <c r="K6" s="91">
        <v>8</v>
      </c>
      <c r="L6" s="91">
        <v>9</v>
      </c>
      <c r="M6" s="91">
        <v>10</v>
      </c>
    </row>
    <row r="7" spans="1:13" x14ac:dyDescent="0.35">
      <c r="A7" s="2" t="s">
        <v>139</v>
      </c>
      <c r="B7" s="44"/>
      <c r="C7" s="45"/>
      <c r="D7" s="46">
        <f>+'Estado de resultados'!C8</f>
        <v>1150576.1312457926</v>
      </c>
      <c r="E7" s="46">
        <f>+'Estado de resultados'!D8</f>
        <v>938870.12309656688</v>
      </c>
      <c r="F7" s="46">
        <f>+'Estado de resultados'!E8</f>
        <v>1197059.4069481227</v>
      </c>
      <c r="G7" s="46">
        <f>+'Estado de resultados'!F8</f>
        <v>976800.47606966819</v>
      </c>
      <c r="H7" s="46">
        <f>+'Estado de resultados'!G8</f>
        <v>1245420.6069888268</v>
      </c>
      <c r="I7" s="46">
        <f>+'Estado de resultados'!H8</f>
        <v>1016263.2153028828</v>
      </c>
      <c r="J7" s="46">
        <f>+'Estado de resultados'!I8</f>
        <v>1295735.5995111754</v>
      </c>
      <c r="K7" s="46">
        <f>+'Estado de resultados'!J8</f>
        <v>1057320.2492011192</v>
      </c>
      <c r="L7" s="46">
        <f>+'Estado de resultados'!K8</f>
        <v>1348083.3177314268</v>
      </c>
      <c r="M7" s="46">
        <f>+'Estado de resultados'!L8</f>
        <v>1100035.9872688444</v>
      </c>
    </row>
    <row r="8" spans="1:13" x14ac:dyDescent="0.35">
      <c r="A8" t="s">
        <v>167</v>
      </c>
      <c r="B8" s="31"/>
      <c r="C8" s="42"/>
      <c r="D8" s="43">
        <f>+'Estado de resultados'!C13</f>
        <v>520910.63443267246</v>
      </c>
      <c r="E8" s="43">
        <f>+'Estado de resultados'!D13</f>
        <v>531328.84712132602</v>
      </c>
      <c r="F8" s="43">
        <f>+'Estado de resultados'!E13</f>
        <v>541955.42406375252</v>
      </c>
      <c r="G8" s="43">
        <f>+'Estado de resultados'!F13</f>
        <v>552794.53254502756</v>
      </c>
      <c r="H8" s="43">
        <f>+'Estado de resultados'!G13</f>
        <v>563850.42319592799</v>
      </c>
      <c r="I8" s="43">
        <f>+'Estado de resultados'!H13</f>
        <v>575127.43165984668</v>
      </c>
      <c r="J8" s="43">
        <f>+'Estado de resultados'!I13</f>
        <v>586629.98029304366</v>
      </c>
      <c r="K8" s="43">
        <f>+'Estado de resultados'!J13</f>
        <v>598362.57989890443</v>
      </c>
      <c r="L8" s="43">
        <f>+'Estado de resultados'!K13</f>
        <v>610329.8314968826</v>
      </c>
      <c r="M8" s="43">
        <f>+'Estado de resultados'!L13</f>
        <v>622536.42812682025</v>
      </c>
    </row>
    <row r="9" spans="1:13" x14ac:dyDescent="0.35">
      <c r="A9" t="s">
        <v>221</v>
      </c>
      <c r="B9" s="31"/>
      <c r="C9" s="42"/>
      <c r="D9" s="43">
        <f>+'Estado de resultados'!C18</f>
        <v>22098.163450312917</v>
      </c>
      <c r="E9" s="43">
        <f>+'Estado de resultados'!D18</f>
        <v>22473.19905216754</v>
      </c>
      <c r="F9" s="43">
        <f>+'Estado de resultados'!E18</f>
        <v>22855.735366059256</v>
      </c>
      <c r="G9" s="43">
        <f>+'Estado de resultados'!F18</f>
        <v>23245.922406228805</v>
      </c>
      <c r="H9" s="43">
        <f>+'Estado de resultados'!G18</f>
        <v>23643.913187201746</v>
      </c>
      <c r="I9" s="43">
        <f>+'Estado de resultados'!H18</f>
        <v>20890.323274358954</v>
      </c>
      <c r="J9" s="43">
        <f>+'Estado de resultados'!I18</f>
        <v>21304.392882883199</v>
      </c>
      <c r="K9" s="43">
        <f>+'Estado de resultados'!J18</f>
        <v>21726.743883577932</v>
      </c>
      <c r="L9" s="43">
        <f>+'Estado de resultados'!K18</f>
        <v>22157.541904286558</v>
      </c>
      <c r="M9" s="43">
        <f>+'Estado de resultados'!L18</f>
        <v>22596.955885409356</v>
      </c>
    </row>
    <row r="10" spans="1:13" x14ac:dyDescent="0.35">
      <c r="A10" t="s">
        <v>217</v>
      </c>
      <c r="B10" s="31"/>
      <c r="C10" s="42"/>
      <c r="D10" s="43">
        <f>+'Amortización Deuda'!C14</f>
        <v>103421.46712523932</v>
      </c>
      <c r="E10" s="43">
        <f>+'Amortización Deuda'!C15</f>
        <v>97528.081264922774</v>
      </c>
      <c r="F10" s="43">
        <f>+'Amortización Deuda'!C16</f>
        <v>90927.489101368221</v>
      </c>
      <c r="G10" s="43">
        <f>+'Amortización Deuda'!C17</f>
        <v>83534.825878187141</v>
      </c>
      <c r="H10" s="43">
        <f>+'Amortización Deuda'!C18</f>
        <v>75255.043068224317</v>
      </c>
      <c r="I10" s="43">
        <f>+'Amortización Deuda'!C19</f>
        <v>65981.686321065979</v>
      </c>
      <c r="J10" s="43">
        <f>+'Amortización Deuda'!C20</f>
        <v>55595.526764248614</v>
      </c>
      <c r="K10" s="43">
        <f>+'Amortización Deuda'!C21</f>
        <v>43963.028060613171</v>
      </c>
      <c r="L10" s="43">
        <f>+'Amortización Deuda'!C22</f>
        <v>30934.629512541476</v>
      </c>
      <c r="M10" s="43">
        <f>+'Amortización Deuda'!C23</f>
        <v>16342.823138701182</v>
      </c>
    </row>
    <row r="11" spans="1:13" ht="15" thickBot="1" x14ac:dyDescent="0.4">
      <c r="A11" s="79" t="s">
        <v>164</v>
      </c>
      <c r="B11" s="82"/>
      <c r="C11" s="80"/>
      <c r="D11" s="81">
        <f t="shared" ref="D11:M11" si="0">+D7-D8-D9-D10</f>
        <v>504145.86623756785</v>
      </c>
      <c r="E11" s="81">
        <f t="shared" si="0"/>
        <v>287539.99565815052</v>
      </c>
      <c r="F11" s="81">
        <f t="shared" si="0"/>
        <v>541320.75841694267</v>
      </c>
      <c r="G11" s="81">
        <f t="shared" si="0"/>
        <v>317225.19524022471</v>
      </c>
      <c r="H11" s="81">
        <f t="shared" si="0"/>
        <v>582671.22753747273</v>
      </c>
      <c r="I11" s="81">
        <f t="shared" si="0"/>
        <v>354263.77404761122</v>
      </c>
      <c r="J11" s="81">
        <f t="shared" si="0"/>
        <v>632205.69957099995</v>
      </c>
      <c r="K11" s="81">
        <f t="shared" si="0"/>
        <v>393267.89735802368</v>
      </c>
      <c r="L11" s="81">
        <f t="shared" si="0"/>
        <v>684661.31481771613</v>
      </c>
      <c r="M11" s="81">
        <f t="shared" si="0"/>
        <v>438559.78011791356</v>
      </c>
    </row>
    <row r="12" spans="1:13" ht="15" thickTop="1" x14ac:dyDescent="0.35">
      <c r="A12" t="s">
        <v>64</v>
      </c>
      <c r="B12" s="3">
        <v>0.2</v>
      </c>
      <c r="C12" s="3"/>
      <c r="D12" s="43">
        <f t="shared" ref="D12:M12" si="1">+IF(D11&gt;$B$12,(D11-$B$12)*$B$12,0)</f>
        <v>100829.13324751357</v>
      </c>
      <c r="E12" s="43">
        <f t="shared" si="1"/>
        <v>57507.959131630108</v>
      </c>
      <c r="F12" s="43">
        <f t="shared" si="1"/>
        <v>108264.11168338855</v>
      </c>
      <c r="G12" s="43">
        <f t="shared" si="1"/>
        <v>63444.999048044941</v>
      </c>
      <c r="H12" s="43">
        <f t="shared" si="1"/>
        <v>116534.20550749457</v>
      </c>
      <c r="I12" s="43">
        <f t="shared" si="1"/>
        <v>70852.714809522251</v>
      </c>
      <c r="J12" s="43">
        <f t="shared" si="1"/>
        <v>126441.09991420001</v>
      </c>
      <c r="K12" s="43">
        <f t="shared" si="1"/>
        <v>78653.539471604745</v>
      </c>
      <c r="L12" s="43">
        <f t="shared" si="1"/>
        <v>136932.22296354323</v>
      </c>
      <c r="M12" s="43">
        <f t="shared" si="1"/>
        <v>87711.916023582715</v>
      </c>
    </row>
    <row r="13" spans="1:13" ht="15" thickBot="1" x14ac:dyDescent="0.4">
      <c r="A13" s="79" t="s">
        <v>216</v>
      </c>
      <c r="B13" s="80"/>
      <c r="C13" s="80"/>
      <c r="D13" s="81">
        <f>D11-D12</f>
        <v>403316.7329900543</v>
      </c>
      <c r="E13" s="81">
        <f t="shared" ref="E13:M13" si="2">E11-E12</f>
        <v>230032.03652652042</v>
      </c>
      <c r="F13" s="81">
        <f t="shared" si="2"/>
        <v>433056.64673355414</v>
      </c>
      <c r="G13" s="81">
        <f t="shared" si="2"/>
        <v>253780.19619217978</v>
      </c>
      <c r="H13" s="81">
        <f t="shared" si="2"/>
        <v>466137.02202997816</v>
      </c>
      <c r="I13" s="81">
        <f t="shared" si="2"/>
        <v>283411.05923808896</v>
      </c>
      <c r="J13" s="81">
        <f t="shared" si="2"/>
        <v>505764.59965679992</v>
      </c>
      <c r="K13" s="81">
        <f t="shared" si="2"/>
        <v>314614.35788641893</v>
      </c>
      <c r="L13" s="81">
        <f t="shared" si="2"/>
        <v>547729.09185417288</v>
      </c>
      <c r="M13" s="81">
        <f t="shared" si="2"/>
        <v>350847.86409433081</v>
      </c>
    </row>
    <row r="14" spans="1:13" ht="15" thickTop="1" x14ac:dyDescent="0.35">
      <c r="A14" t="s">
        <v>65</v>
      </c>
      <c r="B14" s="42"/>
      <c r="C14" s="42"/>
      <c r="D14" s="42"/>
      <c r="E14" s="42"/>
      <c r="F14" s="42"/>
      <c r="G14" s="42"/>
      <c r="H14" s="42"/>
    </row>
    <row r="15" spans="1:13" x14ac:dyDescent="0.35">
      <c r="A15" t="s">
        <v>66</v>
      </c>
      <c r="B15" s="42"/>
      <c r="C15" s="42"/>
      <c r="D15" s="42">
        <f>+Depreciaciones!D11</f>
        <v>3159.5405094351918</v>
      </c>
      <c r="E15" s="42">
        <f>+Depreciaciones!E11</f>
        <v>3159.5405094351918</v>
      </c>
      <c r="F15" s="42">
        <f>+Depreciaciones!F11</f>
        <v>3159.5405094351918</v>
      </c>
      <c r="G15" s="42">
        <f>+Depreciaciones!G11</f>
        <v>3159.5405094351918</v>
      </c>
      <c r="H15" s="42">
        <f>+Depreciaciones!H11</f>
        <v>3159.5405094351918</v>
      </c>
      <c r="I15" s="42"/>
      <c r="J15" s="42"/>
      <c r="K15" s="42"/>
      <c r="L15" s="42"/>
      <c r="M15" s="42"/>
    </row>
    <row r="16" spans="1:13" x14ac:dyDescent="0.35">
      <c r="A16" t="s">
        <v>170</v>
      </c>
      <c r="C16" s="42">
        <f>+'Amortización Deuda'!B7</f>
        <v>861845.55937699438</v>
      </c>
      <c r="D16" s="42"/>
      <c r="E16" s="42"/>
      <c r="F16" s="42"/>
      <c r="G16" s="42"/>
      <c r="H16" s="42"/>
    </row>
    <row r="17" spans="1:13" x14ac:dyDescent="0.35">
      <c r="A17" t="s">
        <v>67</v>
      </c>
      <c r="C17" s="42"/>
      <c r="D17" s="42"/>
      <c r="E17" s="42"/>
      <c r="F17" s="42"/>
      <c r="G17" s="42"/>
      <c r="H17" s="42"/>
    </row>
    <row r="18" spans="1:13" x14ac:dyDescent="0.35">
      <c r="A18" t="s">
        <v>173</v>
      </c>
      <c r="B18" s="42"/>
      <c r="C18" s="42">
        <f>-'Amortización Deuda'!B6</f>
        <v>-369362.38259014045</v>
      </c>
      <c r="D18" s="42"/>
      <c r="E18" s="42"/>
      <c r="F18" s="42"/>
      <c r="G18" s="42"/>
      <c r="H18" s="42"/>
    </row>
    <row r="19" spans="1:13" x14ac:dyDescent="0.35">
      <c r="A19" t="s">
        <v>163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13" x14ac:dyDescent="0.35">
      <c r="A20" t="s">
        <v>68</v>
      </c>
      <c r="D20" s="42"/>
      <c r="E20" s="42"/>
      <c r="F20" s="42"/>
      <c r="G20" s="42"/>
      <c r="H20" s="42"/>
    </row>
    <row r="21" spans="1:13" x14ac:dyDescent="0.35">
      <c r="A21" t="s">
        <v>172</v>
      </c>
      <c r="C21" s="42">
        <f>-'Costos Detallados'!B16</f>
        <v>-1231207.9419671348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x14ac:dyDescent="0.35">
      <c r="A22" t="s">
        <v>69</v>
      </c>
      <c r="B22" s="42"/>
      <c r="C22" s="42"/>
      <c r="D22" s="43">
        <f>-'Amortización Deuda'!D14</f>
        <v>-49111.548835971305</v>
      </c>
      <c r="E22" s="43">
        <f>+-'Amortización Deuda'!D15</f>
        <v>-55004.934696287848</v>
      </c>
      <c r="F22" s="43">
        <f>+-'Amortización Deuda'!D16</f>
        <v>-61605.526859842401</v>
      </c>
      <c r="G22" s="43">
        <f>+-'Amortización Deuda'!D17</f>
        <v>-68998.190083023481</v>
      </c>
      <c r="H22" s="43">
        <f>+-'Amortización Deuda'!D18</f>
        <v>-77277.972892986305</v>
      </c>
      <c r="I22" s="43">
        <f>+-'Amortización Deuda'!D19</f>
        <v>-86551.329640144642</v>
      </c>
      <c r="J22" s="43">
        <f>+-'Amortización Deuda'!D20</f>
        <v>-96937.489196962008</v>
      </c>
      <c r="K22" s="43">
        <f>+-'Amortización Deuda'!D21</f>
        <v>-108569.98790059745</v>
      </c>
      <c r="L22" s="43">
        <f>+-'Amortización Deuda'!D22</f>
        <v>-121598.38644866915</v>
      </c>
      <c r="M22" s="43">
        <f>+-'Amortización Deuda'!D23</f>
        <v>-136190.19282250945</v>
      </c>
    </row>
    <row r="23" spans="1:13" ht="15" thickBot="1" x14ac:dyDescent="0.4">
      <c r="A23" s="97" t="s">
        <v>70</v>
      </c>
      <c r="B23" s="97"/>
      <c r="C23" s="97">
        <f>+C18+C16+C21</f>
        <v>-738724.7651802809</v>
      </c>
      <c r="D23" s="97">
        <f t="shared" ref="D23:M23" si="3">SUM(D13:D22)</f>
        <v>357364.72466351814</v>
      </c>
      <c r="E23" s="97">
        <f t="shared" si="3"/>
        <v>178186.64233966777</v>
      </c>
      <c r="F23" s="97">
        <f t="shared" si="3"/>
        <v>374610.6603831469</v>
      </c>
      <c r="G23" s="97">
        <f t="shared" si="3"/>
        <v>187941.5466185915</v>
      </c>
      <c r="H23" s="97">
        <f t="shared" si="3"/>
        <v>392018.58964642702</v>
      </c>
      <c r="I23" s="97">
        <f t="shared" si="3"/>
        <v>196859.7295979443</v>
      </c>
      <c r="J23" s="97">
        <f t="shared" si="3"/>
        <v>408827.11045983795</v>
      </c>
      <c r="K23" s="97">
        <f t="shared" si="3"/>
        <v>206044.36998582148</v>
      </c>
      <c r="L23" s="97">
        <f t="shared" si="3"/>
        <v>426130.70540550374</v>
      </c>
      <c r="M23" s="97">
        <f t="shared" si="3"/>
        <v>214657.67127182137</v>
      </c>
    </row>
    <row r="24" spans="1:13" ht="15.5" thickTop="1" thickBot="1" x14ac:dyDescent="0.4">
      <c r="A24" s="81" t="s">
        <v>71</v>
      </c>
      <c r="B24" s="81"/>
      <c r="C24" s="81">
        <f>C23</f>
        <v>-738724.7651802809</v>
      </c>
      <c r="D24" s="81">
        <f>+C24+D23</f>
        <v>-381360.04051676276</v>
      </c>
      <c r="E24" s="81">
        <f>D24+E23</f>
        <v>-203173.39817709499</v>
      </c>
      <c r="F24" s="81">
        <f t="shared" ref="F24:M24" si="4">E24+F23</f>
        <v>171437.26220605191</v>
      </c>
      <c r="G24" s="81">
        <f t="shared" si="4"/>
        <v>359378.80882464338</v>
      </c>
      <c r="H24" s="81">
        <f t="shared" si="4"/>
        <v>751397.39847107045</v>
      </c>
      <c r="I24" s="81">
        <f t="shared" si="4"/>
        <v>948257.12806901475</v>
      </c>
      <c r="J24" s="81">
        <f t="shared" si="4"/>
        <v>1357084.2385288528</v>
      </c>
      <c r="K24" s="81">
        <f t="shared" si="4"/>
        <v>1563128.6085146742</v>
      </c>
      <c r="L24" s="81">
        <f t="shared" si="4"/>
        <v>1989259.313920178</v>
      </c>
      <c r="M24" s="81">
        <f t="shared" si="4"/>
        <v>2203916.9851919995</v>
      </c>
    </row>
    <row r="25" spans="1:13" ht="15" thickTop="1" x14ac:dyDescent="0.35"/>
    <row r="26" spans="1:13" x14ac:dyDescent="0.35">
      <c r="A26" t="s">
        <v>72</v>
      </c>
    </row>
    <row r="27" spans="1:13" s="1" customFormat="1" ht="15" thickBot="1" x14ac:dyDescent="0.4">
      <c r="A27" s="81" t="s">
        <v>73</v>
      </c>
      <c r="B27" s="81"/>
      <c r="C27" s="81">
        <f>C23</f>
        <v>-738724.7651802809</v>
      </c>
      <c r="D27" s="81">
        <f>D23</f>
        <v>357364.72466351814</v>
      </c>
      <c r="E27" s="81">
        <f t="shared" ref="E27:M27" si="5">E23</f>
        <v>178186.64233966777</v>
      </c>
      <c r="F27" s="81">
        <f t="shared" si="5"/>
        <v>374610.6603831469</v>
      </c>
      <c r="G27" s="81">
        <f t="shared" si="5"/>
        <v>187941.5466185915</v>
      </c>
      <c r="H27" s="81">
        <f t="shared" si="5"/>
        <v>392018.58964642702</v>
      </c>
      <c r="I27" s="81">
        <f t="shared" si="5"/>
        <v>196859.7295979443</v>
      </c>
      <c r="J27" s="81">
        <f t="shared" si="5"/>
        <v>408827.11045983795</v>
      </c>
      <c r="K27" s="81">
        <f t="shared" si="5"/>
        <v>206044.36998582148</v>
      </c>
      <c r="L27" s="81">
        <f t="shared" si="5"/>
        <v>426130.70540550374</v>
      </c>
      <c r="M27" s="81">
        <f t="shared" si="5"/>
        <v>214657.67127182137</v>
      </c>
    </row>
    <row r="28" spans="1:13" ht="15" thickTop="1" x14ac:dyDescent="0.35">
      <c r="A28" s="47"/>
      <c r="B28" s="47"/>
      <c r="C28" s="47"/>
      <c r="D28" s="47"/>
      <c r="E28" s="47"/>
      <c r="F28" s="47"/>
      <c r="G28" s="47"/>
      <c r="H28" s="47"/>
    </row>
    <row r="29" spans="1:13" ht="15" thickBot="1" x14ac:dyDescent="0.4">
      <c r="A29" s="48" t="s">
        <v>74</v>
      </c>
      <c r="B29" s="48"/>
      <c r="C29" s="48">
        <f>+C21</f>
        <v>-1231207.9419671348</v>
      </c>
      <c r="D29" s="117">
        <f>+D23-D16+D10</f>
        <v>460786.19178875745</v>
      </c>
      <c r="E29" s="117">
        <f t="shared" ref="E29:M29" si="6">+E23-E16+E10</f>
        <v>275714.72360459052</v>
      </c>
      <c r="F29" s="117">
        <f t="shared" si="6"/>
        <v>465538.14948451513</v>
      </c>
      <c r="G29" s="117">
        <f t="shared" si="6"/>
        <v>271476.37249677861</v>
      </c>
      <c r="H29" s="117">
        <f t="shared" si="6"/>
        <v>467273.63271465135</v>
      </c>
      <c r="I29" s="117">
        <f t="shared" si="6"/>
        <v>262841.41591901029</v>
      </c>
      <c r="J29" s="117">
        <f t="shared" si="6"/>
        <v>464422.63722408656</v>
      </c>
      <c r="K29" s="117">
        <f t="shared" si="6"/>
        <v>250007.39804643465</v>
      </c>
      <c r="L29" s="117">
        <f t="shared" si="6"/>
        <v>457065.33491804521</v>
      </c>
      <c r="M29" s="117">
        <f t="shared" si="6"/>
        <v>231000.49441052254</v>
      </c>
    </row>
    <row r="30" spans="1:13" ht="15.5" thickTop="1" thickBot="1" x14ac:dyDescent="0.4">
      <c r="A30" s="48" t="s">
        <v>75</v>
      </c>
      <c r="B30" s="48"/>
      <c r="C30" s="48">
        <f>C29</f>
        <v>-1231207.9419671348</v>
      </c>
      <c r="D30" s="48">
        <f>C30+D29</f>
        <v>-770421.75017837738</v>
      </c>
      <c r="E30" s="48">
        <f t="shared" ref="E30:F30" si="7">D30+E29</f>
        <v>-494707.02657378686</v>
      </c>
      <c r="F30" s="48">
        <f t="shared" si="7"/>
        <v>-29168.877089271729</v>
      </c>
      <c r="G30" s="48">
        <f>F30+G29</f>
        <v>242307.49540750688</v>
      </c>
      <c r="H30" s="48">
        <f t="shared" ref="H30" si="8">G30+H29</f>
        <v>709581.12812215823</v>
      </c>
      <c r="I30" s="48">
        <f t="shared" ref="I30" si="9">H30+I29</f>
        <v>972422.54404116853</v>
      </c>
      <c r="J30" s="48">
        <f t="shared" ref="J30" si="10">I30+J29</f>
        <v>1436845.181265255</v>
      </c>
      <c r="K30" s="48">
        <f t="shared" ref="K30" si="11">J30+K29</f>
        <v>1686852.5793116896</v>
      </c>
      <c r="L30" s="48">
        <f t="shared" ref="L30" si="12">K30+L29</f>
        <v>2143917.9142297348</v>
      </c>
      <c r="M30" s="48">
        <f t="shared" ref="M30" si="13">L30+M29</f>
        <v>2374918.4086402575</v>
      </c>
    </row>
    <row r="31" spans="1:13" ht="15" thickTop="1" x14ac:dyDescent="0.35">
      <c r="A31" s="1" t="s">
        <v>76</v>
      </c>
      <c r="B31" s="49">
        <f>IRR(C29:M29)</f>
        <v>0.28067222925564073</v>
      </c>
    </row>
    <row r="32" spans="1:13" x14ac:dyDescent="0.35">
      <c r="A32" s="1" t="s">
        <v>77</v>
      </c>
      <c r="B32" s="50">
        <f>SUM(C32:M32)</f>
        <v>852455.97086530714</v>
      </c>
      <c r="C32" s="42">
        <f t="shared" ref="C32:M32" si="14">C29/POWER(1+$B$34,C$6)</f>
        <v>-1231207.9419671348</v>
      </c>
      <c r="D32" s="42">
        <f t="shared" si="14"/>
        <v>411416.24266853341</v>
      </c>
      <c r="E32" s="42">
        <f t="shared" si="14"/>
        <v>219798.08960825135</v>
      </c>
      <c r="F32" s="42">
        <f t="shared" si="14"/>
        <v>331360.85940668487</v>
      </c>
      <c r="G32" s="42">
        <f t="shared" si="14"/>
        <v>172528.14258146691</v>
      </c>
      <c r="H32" s="42">
        <f t="shared" si="14"/>
        <v>265143.60817148222</v>
      </c>
      <c r="I32" s="42">
        <f t="shared" si="14"/>
        <v>133163.64123888264</v>
      </c>
      <c r="J32" s="42">
        <f t="shared" si="14"/>
        <v>210081.21553300627</v>
      </c>
      <c r="K32" s="42">
        <f t="shared" si="14"/>
        <v>100973.79494171705</v>
      </c>
      <c r="L32" s="42">
        <f t="shared" si="14"/>
        <v>164822.3418430103</v>
      </c>
      <c r="M32" s="42">
        <f t="shared" si="14"/>
        <v>74375.976839406925</v>
      </c>
    </row>
    <row r="33" spans="1:13" x14ac:dyDescent="0.35">
      <c r="A33" s="1" t="s">
        <v>78</v>
      </c>
      <c r="B33" s="50">
        <f>COUNTIF(C30:M30,"&lt;0")</f>
        <v>4</v>
      </c>
    </row>
    <row r="34" spans="1:13" x14ac:dyDescent="0.35">
      <c r="A34" s="1" t="s">
        <v>79</v>
      </c>
      <c r="B34" s="51">
        <v>0.12</v>
      </c>
    </row>
    <row r="36" spans="1:13" x14ac:dyDescent="0.35">
      <c r="B36" s="75"/>
    </row>
    <row r="37" spans="1:13" x14ac:dyDescent="0.35">
      <c r="A37" s="1"/>
      <c r="B37" s="88"/>
    </row>
    <row r="38" spans="1:13" x14ac:dyDescent="0.35">
      <c r="A38" s="1"/>
      <c r="B38" s="88"/>
    </row>
    <row r="42" spans="1:13" x14ac:dyDescent="0.35"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</row>
    <row r="43" spans="1:13" x14ac:dyDescent="0.35">
      <c r="B43" s="7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AF2DB-C3CC-4C01-AC9E-942525AC38F9}">
  <dimension ref="A1:N46"/>
  <sheetViews>
    <sheetView showGridLines="0" tabSelected="1" zoomScale="97" workbookViewId="0">
      <selection activeCell="D3" sqref="D3"/>
    </sheetView>
  </sheetViews>
  <sheetFormatPr baseColWidth="10" defaultColWidth="11.54296875" defaultRowHeight="11.5" x14ac:dyDescent="0.25"/>
  <cols>
    <col min="1" max="1" width="30.6328125" style="10" bestFit="1" customWidth="1"/>
    <col min="2" max="2" width="7.6328125" style="10" bestFit="1" customWidth="1"/>
    <col min="3" max="3" width="8.7265625" style="10" customWidth="1"/>
    <col min="4" max="4" width="7.6328125" style="10" bestFit="1" customWidth="1"/>
    <col min="5" max="5" width="9" style="10" customWidth="1"/>
    <col min="6" max="6" width="7.6328125" style="10" bestFit="1" customWidth="1"/>
    <col min="7" max="7" width="10.08984375" style="10" customWidth="1"/>
    <col min="8" max="8" width="8.90625" style="10" bestFit="1" customWidth="1"/>
    <col min="9" max="9" width="9.7265625" style="10" bestFit="1" customWidth="1"/>
    <col min="10" max="10" width="7.453125" style="10" bestFit="1" customWidth="1"/>
    <col min="11" max="11" width="8.7265625" style="10" customWidth="1"/>
    <col min="12" max="12" width="7" style="10" customWidth="1"/>
    <col min="13" max="13" width="10" style="10" customWidth="1"/>
    <col min="14" max="14" width="12.6328125" style="10" bestFit="1" customWidth="1"/>
    <col min="15" max="235" width="11.54296875" style="10"/>
    <col min="236" max="236" width="30.6328125" style="10" bestFit="1" customWidth="1"/>
    <col min="237" max="242" width="9.90625" style="10" bestFit="1" customWidth="1"/>
    <col min="243" max="246" width="9.6328125" style="10" bestFit="1" customWidth="1"/>
    <col min="247" max="247" width="8.81640625" style="10" bestFit="1" customWidth="1"/>
    <col min="248" max="248" width="9.6328125" style="10" bestFit="1" customWidth="1"/>
    <col min="249" max="249" width="12.6328125" style="10" bestFit="1" customWidth="1"/>
    <col min="250" max="251" width="17" style="10" bestFit="1" customWidth="1"/>
    <col min="252" max="252" width="12.6328125" style="10" bestFit="1" customWidth="1"/>
    <col min="253" max="253" width="17" style="10" bestFit="1" customWidth="1"/>
    <col min="254" max="254" width="17.08984375" style="10" bestFit="1" customWidth="1"/>
    <col min="255" max="255" width="12.81640625" style="10" bestFit="1" customWidth="1"/>
    <col min="256" max="259" width="9.6328125" style="10" bestFit="1" customWidth="1"/>
    <col min="260" max="260" width="11.54296875" style="10"/>
    <col min="261" max="261" width="13.6328125" style="10" bestFit="1" customWidth="1"/>
    <col min="262" max="262" width="4.36328125" style="10" bestFit="1" customWidth="1"/>
    <col min="263" max="264" width="11.453125" style="10" customWidth="1"/>
    <col min="265" max="269" width="9.6328125" style="10" bestFit="1" customWidth="1"/>
    <col min="270" max="270" width="8.6328125" style="10" bestFit="1" customWidth="1"/>
    <col min="271" max="491" width="11.54296875" style="10"/>
    <col min="492" max="492" width="30.6328125" style="10" bestFit="1" customWidth="1"/>
    <col min="493" max="498" width="9.90625" style="10" bestFit="1" customWidth="1"/>
    <col min="499" max="502" width="9.6328125" style="10" bestFit="1" customWidth="1"/>
    <col min="503" max="503" width="8.81640625" style="10" bestFit="1" customWidth="1"/>
    <col min="504" max="504" width="9.6328125" style="10" bestFit="1" customWidth="1"/>
    <col min="505" max="505" width="12.6328125" style="10" bestFit="1" customWidth="1"/>
    <col min="506" max="507" width="17" style="10" bestFit="1" customWidth="1"/>
    <col min="508" max="508" width="12.6328125" style="10" bestFit="1" customWidth="1"/>
    <col min="509" max="509" width="17" style="10" bestFit="1" customWidth="1"/>
    <col min="510" max="510" width="17.08984375" style="10" bestFit="1" customWidth="1"/>
    <col min="511" max="511" width="12.81640625" style="10" bestFit="1" customWidth="1"/>
    <col min="512" max="515" width="9.6328125" style="10" bestFit="1" customWidth="1"/>
    <col min="516" max="516" width="11.54296875" style="10"/>
    <col min="517" max="517" width="13.6328125" style="10" bestFit="1" customWidth="1"/>
    <col min="518" max="518" width="4.36328125" style="10" bestFit="1" customWidth="1"/>
    <col min="519" max="520" width="11.453125" style="10" customWidth="1"/>
    <col min="521" max="525" width="9.6328125" style="10" bestFit="1" customWidth="1"/>
    <col min="526" max="526" width="8.6328125" style="10" bestFit="1" customWidth="1"/>
    <col min="527" max="747" width="11.54296875" style="10"/>
    <col min="748" max="748" width="30.6328125" style="10" bestFit="1" customWidth="1"/>
    <col min="749" max="754" width="9.90625" style="10" bestFit="1" customWidth="1"/>
    <col min="755" max="758" width="9.6328125" style="10" bestFit="1" customWidth="1"/>
    <col min="759" max="759" width="8.81640625" style="10" bestFit="1" customWidth="1"/>
    <col min="760" max="760" width="9.6328125" style="10" bestFit="1" customWidth="1"/>
    <col min="761" max="761" width="12.6328125" style="10" bestFit="1" customWidth="1"/>
    <col min="762" max="763" width="17" style="10" bestFit="1" customWidth="1"/>
    <col min="764" max="764" width="12.6328125" style="10" bestFit="1" customWidth="1"/>
    <col min="765" max="765" width="17" style="10" bestFit="1" customWidth="1"/>
    <col min="766" max="766" width="17.08984375" style="10" bestFit="1" customWidth="1"/>
    <col min="767" max="767" width="12.81640625" style="10" bestFit="1" customWidth="1"/>
    <col min="768" max="771" width="9.6328125" style="10" bestFit="1" customWidth="1"/>
    <col min="772" max="772" width="11.54296875" style="10"/>
    <col min="773" max="773" width="13.6328125" style="10" bestFit="1" customWidth="1"/>
    <col min="774" max="774" width="4.36328125" style="10" bestFit="1" customWidth="1"/>
    <col min="775" max="776" width="11.453125" style="10" customWidth="1"/>
    <col min="777" max="781" width="9.6328125" style="10" bestFit="1" customWidth="1"/>
    <col min="782" max="782" width="8.6328125" style="10" bestFit="1" customWidth="1"/>
    <col min="783" max="1003" width="11.54296875" style="10"/>
    <col min="1004" max="1004" width="30.6328125" style="10" bestFit="1" customWidth="1"/>
    <col min="1005" max="1010" width="9.90625" style="10" bestFit="1" customWidth="1"/>
    <col min="1011" max="1014" width="9.6328125" style="10" bestFit="1" customWidth="1"/>
    <col min="1015" max="1015" width="8.81640625" style="10" bestFit="1" customWidth="1"/>
    <col min="1016" max="1016" width="9.6328125" style="10" bestFit="1" customWidth="1"/>
    <col min="1017" max="1017" width="12.6328125" style="10" bestFit="1" customWidth="1"/>
    <col min="1018" max="1019" width="17" style="10" bestFit="1" customWidth="1"/>
    <col min="1020" max="1020" width="12.6328125" style="10" bestFit="1" customWidth="1"/>
    <col min="1021" max="1021" width="17" style="10" bestFit="1" customWidth="1"/>
    <col min="1022" max="1022" width="17.08984375" style="10" bestFit="1" customWidth="1"/>
    <col min="1023" max="1023" width="12.81640625" style="10" bestFit="1" customWidth="1"/>
    <col min="1024" max="1027" width="9.6328125" style="10" bestFit="1" customWidth="1"/>
    <col min="1028" max="1028" width="11.54296875" style="10"/>
    <col min="1029" max="1029" width="13.6328125" style="10" bestFit="1" customWidth="1"/>
    <col min="1030" max="1030" width="4.36328125" style="10" bestFit="1" customWidth="1"/>
    <col min="1031" max="1032" width="11.453125" style="10" customWidth="1"/>
    <col min="1033" max="1037" width="9.6328125" style="10" bestFit="1" customWidth="1"/>
    <col min="1038" max="1038" width="8.6328125" style="10" bestFit="1" customWidth="1"/>
    <col min="1039" max="1259" width="11.54296875" style="10"/>
    <col min="1260" max="1260" width="30.6328125" style="10" bestFit="1" customWidth="1"/>
    <col min="1261" max="1266" width="9.90625" style="10" bestFit="1" customWidth="1"/>
    <col min="1267" max="1270" width="9.6328125" style="10" bestFit="1" customWidth="1"/>
    <col min="1271" max="1271" width="8.81640625" style="10" bestFit="1" customWidth="1"/>
    <col min="1272" max="1272" width="9.6328125" style="10" bestFit="1" customWidth="1"/>
    <col min="1273" max="1273" width="12.6328125" style="10" bestFit="1" customWidth="1"/>
    <col min="1274" max="1275" width="17" style="10" bestFit="1" customWidth="1"/>
    <col min="1276" max="1276" width="12.6328125" style="10" bestFit="1" customWidth="1"/>
    <col min="1277" max="1277" width="17" style="10" bestFit="1" customWidth="1"/>
    <col min="1278" max="1278" width="17.08984375" style="10" bestFit="1" customWidth="1"/>
    <col min="1279" max="1279" width="12.81640625" style="10" bestFit="1" customWidth="1"/>
    <col min="1280" max="1283" width="9.6328125" style="10" bestFit="1" customWidth="1"/>
    <col min="1284" max="1284" width="11.54296875" style="10"/>
    <col min="1285" max="1285" width="13.6328125" style="10" bestFit="1" customWidth="1"/>
    <col min="1286" max="1286" width="4.36328125" style="10" bestFit="1" customWidth="1"/>
    <col min="1287" max="1288" width="11.453125" style="10" customWidth="1"/>
    <col min="1289" max="1293" width="9.6328125" style="10" bestFit="1" customWidth="1"/>
    <col min="1294" max="1294" width="8.6328125" style="10" bestFit="1" customWidth="1"/>
    <col min="1295" max="1515" width="11.54296875" style="10"/>
    <col min="1516" max="1516" width="30.6328125" style="10" bestFit="1" customWidth="1"/>
    <col min="1517" max="1522" width="9.90625" style="10" bestFit="1" customWidth="1"/>
    <col min="1523" max="1526" width="9.6328125" style="10" bestFit="1" customWidth="1"/>
    <col min="1527" max="1527" width="8.81640625" style="10" bestFit="1" customWidth="1"/>
    <col min="1528" max="1528" width="9.6328125" style="10" bestFit="1" customWidth="1"/>
    <col min="1529" max="1529" width="12.6328125" style="10" bestFit="1" customWidth="1"/>
    <col min="1530" max="1531" width="17" style="10" bestFit="1" customWidth="1"/>
    <col min="1532" max="1532" width="12.6328125" style="10" bestFit="1" customWidth="1"/>
    <col min="1533" max="1533" width="17" style="10" bestFit="1" customWidth="1"/>
    <col min="1534" max="1534" width="17.08984375" style="10" bestFit="1" customWidth="1"/>
    <col min="1535" max="1535" width="12.81640625" style="10" bestFit="1" customWidth="1"/>
    <col min="1536" max="1539" width="9.6328125" style="10" bestFit="1" customWidth="1"/>
    <col min="1540" max="1540" width="11.54296875" style="10"/>
    <col min="1541" max="1541" width="13.6328125" style="10" bestFit="1" customWidth="1"/>
    <col min="1542" max="1542" width="4.36328125" style="10" bestFit="1" customWidth="1"/>
    <col min="1543" max="1544" width="11.453125" style="10" customWidth="1"/>
    <col min="1545" max="1549" width="9.6328125" style="10" bestFit="1" customWidth="1"/>
    <col min="1550" max="1550" width="8.6328125" style="10" bestFit="1" customWidth="1"/>
    <col min="1551" max="1771" width="11.54296875" style="10"/>
    <col min="1772" max="1772" width="30.6328125" style="10" bestFit="1" customWidth="1"/>
    <col min="1773" max="1778" width="9.90625" style="10" bestFit="1" customWidth="1"/>
    <col min="1779" max="1782" width="9.6328125" style="10" bestFit="1" customWidth="1"/>
    <col min="1783" max="1783" width="8.81640625" style="10" bestFit="1" customWidth="1"/>
    <col min="1784" max="1784" width="9.6328125" style="10" bestFit="1" customWidth="1"/>
    <col min="1785" max="1785" width="12.6328125" style="10" bestFit="1" customWidth="1"/>
    <col min="1786" max="1787" width="17" style="10" bestFit="1" customWidth="1"/>
    <col min="1788" max="1788" width="12.6328125" style="10" bestFit="1" customWidth="1"/>
    <col min="1789" max="1789" width="17" style="10" bestFit="1" customWidth="1"/>
    <col min="1790" max="1790" width="17.08984375" style="10" bestFit="1" customWidth="1"/>
    <col min="1791" max="1791" width="12.81640625" style="10" bestFit="1" customWidth="1"/>
    <col min="1792" max="1795" width="9.6328125" style="10" bestFit="1" customWidth="1"/>
    <col min="1796" max="1796" width="11.54296875" style="10"/>
    <col min="1797" max="1797" width="13.6328125" style="10" bestFit="1" customWidth="1"/>
    <col min="1798" max="1798" width="4.36328125" style="10" bestFit="1" customWidth="1"/>
    <col min="1799" max="1800" width="11.453125" style="10" customWidth="1"/>
    <col min="1801" max="1805" width="9.6328125" style="10" bestFit="1" customWidth="1"/>
    <col min="1806" max="1806" width="8.6328125" style="10" bestFit="1" customWidth="1"/>
    <col min="1807" max="2027" width="11.54296875" style="10"/>
    <col min="2028" max="2028" width="30.6328125" style="10" bestFit="1" customWidth="1"/>
    <col min="2029" max="2034" width="9.90625" style="10" bestFit="1" customWidth="1"/>
    <col min="2035" max="2038" width="9.6328125" style="10" bestFit="1" customWidth="1"/>
    <col min="2039" max="2039" width="8.81640625" style="10" bestFit="1" customWidth="1"/>
    <col min="2040" max="2040" width="9.6328125" style="10" bestFit="1" customWidth="1"/>
    <col min="2041" max="2041" width="12.6328125" style="10" bestFit="1" customWidth="1"/>
    <col min="2042" max="2043" width="17" style="10" bestFit="1" customWidth="1"/>
    <col min="2044" max="2044" width="12.6328125" style="10" bestFit="1" customWidth="1"/>
    <col min="2045" max="2045" width="17" style="10" bestFit="1" customWidth="1"/>
    <col min="2046" max="2046" width="17.08984375" style="10" bestFit="1" customWidth="1"/>
    <col min="2047" max="2047" width="12.81640625" style="10" bestFit="1" customWidth="1"/>
    <col min="2048" max="2051" width="9.6328125" style="10" bestFit="1" customWidth="1"/>
    <col min="2052" max="2052" width="11.54296875" style="10"/>
    <col min="2053" max="2053" width="13.6328125" style="10" bestFit="1" customWidth="1"/>
    <col min="2054" max="2054" width="4.36328125" style="10" bestFit="1" customWidth="1"/>
    <col min="2055" max="2056" width="11.453125" style="10" customWidth="1"/>
    <col min="2057" max="2061" width="9.6328125" style="10" bestFit="1" customWidth="1"/>
    <col min="2062" max="2062" width="8.6328125" style="10" bestFit="1" customWidth="1"/>
    <col min="2063" max="2283" width="11.54296875" style="10"/>
    <col min="2284" max="2284" width="30.6328125" style="10" bestFit="1" customWidth="1"/>
    <col min="2285" max="2290" width="9.90625" style="10" bestFit="1" customWidth="1"/>
    <col min="2291" max="2294" width="9.6328125" style="10" bestFit="1" customWidth="1"/>
    <col min="2295" max="2295" width="8.81640625" style="10" bestFit="1" customWidth="1"/>
    <col min="2296" max="2296" width="9.6328125" style="10" bestFit="1" customWidth="1"/>
    <col min="2297" max="2297" width="12.6328125" style="10" bestFit="1" customWidth="1"/>
    <col min="2298" max="2299" width="17" style="10" bestFit="1" customWidth="1"/>
    <col min="2300" max="2300" width="12.6328125" style="10" bestFit="1" customWidth="1"/>
    <col min="2301" max="2301" width="17" style="10" bestFit="1" customWidth="1"/>
    <col min="2302" max="2302" width="17.08984375" style="10" bestFit="1" customWidth="1"/>
    <col min="2303" max="2303" width="12.81640625" style="10" bestFit="1" customWidth="1"/>
    <col min="2304" max="2307" width="9.6328125" style="10" bestFit="1" customWidth="1"/>
    <col min="2308" max="2308" width="11.54296875" style="10"/>
    <col min="2309" max="2309" width="13.6328125" style="10" bestFit="1" customWidth="1"/>
    <col min="2310" max="2310" width="4.36328125" style="10" bestFit="1" customWidth="1"/>
    <col min="2311" max="2312" width="11.453125" style="10" customWidth="1"/>
    <col min="2313" max="2317" width="9.6328125" style="10" bestFit="1" customWidth="1"/>
    <col min="2318" max="2318" width="8.6328125" style="10" bestFit="1" customWidth="1"/>
    <col min="2319" max="2539" width="11.54296875" style="10"/>
    <col min="2540" max="2540" width="30.6328125" style="10" bestFit="1" customWidth="1"/>
    <col min="2541" max="2546" width="9.90625" style="10" bestFit="1" customWidth="1"/>
    <col min="2547" max="2550" width="9.6328125" style="10" bestFit="1" customWidth="1"/>
    <col min="2551" max="2551" width="8.81640625" style="10" bestFit="1" customWidth="1"/>
    <col min="2552" max="2552" width="9.6328125" style="10" bestFit="1" customWidth="1"/>
    <col min="2553" max="2553" width="12.6328125" style="10" bestFit="1" customWidth="1"/>
    <col min="2554" max="2555" width="17" style="10" bestFit="1" customWidth="1"/>
    <col min="2556" max="2556" width="12.6328125" style="10" bestFit="1" customWidth="1"/>
    <col min="2557" max="2557" width="17" style="10" bestFit="1" customWidth="1"/>
    <col min="2558" max="2558" width="17.08984375" style="10" bestFit="1" customWidth="1"/>
    <col min="2559" max="2559" width="12.81640625" style="10" bestFit="1" customWidth="1"/>
    <col min="2560" max="2563" width="9.6328125" style="10" bestFit="1" customWidth="1"/>
    <col min="2564" max="2564" width="11.54296875" style="10"/>
    <col min="2565" max="2565" width="13.6328125" style="10" bestFit="1" customWidth="1"/>
    <col min="2566" max="2566" width="4.36328125" style="10" bestFit="1" customWidth="1"/>
    <col min="2567" max="2568" width="11.453125" style="10" customWidth="1"/>
    <col min="2569" max="2573" width="9.6328125" style="10" bestFit="1" customWidth="1"/>
    <col min="2574" max="2574" width="8.6328125" style="10" bestFit="1" customWidth="1"/>
    <col min="2575" max="2795" width="11.54296875" style="10"/>
    <col min="2796" max="2796" width="30.6328125" style="10" bestFit="1" customWidth="1"/>
    <col min="2797" max="2802" width="9.90625" style="10" bestFit="1" customWidth="1"/>
    <col min="2803" max="2806" width="9.6328125" style="10" bestFit="1" customWidth="1"/>
    <col min="2807" max="2807" width="8.81640625" style="10" bestFit="1" customWidth="1"/>
    <col min="2808" max="2808" width="9.6328125" style="10" bestFit="1" customWidth="1"/>
    <col min="2809" max="2809" width="12.6328125" style="10" bestFit="1" customWidth="1"/>
    <col min="2810" max="2811" width="17" style="10" bestFit="1" customWidth="1"/>
    <col min="2812" max="2812" width="12.6328125" style="10" bestFit="1" customWidth="1"/>
    <col min="2813" max="2813" width="17" style="10" bestFit="1" customWidth="1"/>
    <col min="2814" max="2814" width="17.08984375" style="10" bestFit="1" customWidth="1"/>
    <col min="2815" max="2815" width="12.81640625" style="10" bestFit="1" customWidth="1"/>
    <col min="2816" max="2819" width="9.6328125" style="10" bestFit="1" customWidth="1"/>
    <col min="2820" max="2820" width="11.54296875" style="10"/>
    <col min="2821" max="2821" width="13.6328125" style="10" bestFit="1" customWidth="1"/>
    <col min="2822" max="2822" width="4.36328125" style="10" bestFit="1" customWidth="1"/>
    <col min="2823" max="2824" width="11.453125" style="10" customWidth="1"/>
    <col min="2825" max="2829" width="9.6328125" style="10" bestFit="1" customWidth="1"/>
    <col min="2830" max="2830" width="8.6328125" style="10" bestFit="1" customWidth="1"/>
    <col min="2831" max="3051" width="11.54296875" style="10"/>
    <col min="3052" max="3052" width="30.6328125" style="10" bestFit="1" customWidth="1"/>
    <col min="3053" max="3058" width="9.90625" style="10" bestFit="1" customWidth="1"/>
    <col min="3059" max="3062" width="9.6328125" style="10" bestFit="1" customWidth="1"/>
    <col min="3063" max="3063" width="8.81640625" style="10" bestFit="1" customWidth="1"/>
    <col min="3064" max="3064" width="9.6328125" style="10" bestFit="1" customWidth="1"/>
    <col min="3065" max="3065" width="12.6328125" style="10" bestFit="1" customWidth="1"/>
    <col min="3066" max="3067" width="17" style="10" bestFit="1" customWidth="1"/>
    <col min="3068" max="3068" width="12.6328125" style="10" bestFit="1" customWidth="1"/>
    <col min="3069" max="3069" width="17" style="10" bestFit="1" customWidth="1"/>
    <col min="3070" max="3070" width="17.08984375" style="10" bestFit="1" customWidth="1"/>
    <col min="3071" max="3071" width="12.81640625" style="10" bestFit="1" customWidth="1"/>
    <col min="3072" max="3075" width="9.6328125" style="10" bestFit="1" customWidth="1"/>
    <col min="3076" max="3076" width="11.54296875" style="10"/>
    <col min="3077" max="3077" width="13.6328125" style="10" bestFit="1" customWidth="1"/>
    <col min="3078" max="3078" width="4.36328125" style="10" bestFit="1" customWidth="1"/>
    <col min="3079" max="3080" width="11.453125" style="10" customWidth="1"/>
    <col min="3081" max="3085" width="9.6328125" style="10" bestFit="1" customWidth="1"/>
    <col min="3086" max="3086" width="8.6328125" style="10" bestFit="1" customWidth="1"/>
    <col min="3087" max="3307" width="11.54296875" style="10"/>
    <col min="3308" max="3308" width="30.6328125" style="10" bestFit="1" customWidth="1"/>
    <col min="3309" max="3314" width="9.90625" style="10" bestFit="1" customWidth="1"/>
    <col min="3315" max="3318" width="9.6328125" style="10" bestFit="1" customWidth="1"/>
    <col min="3319" max="3319" width="8.81640625" style="10" bestFit="1" customWidth="1"/>
    <col min="3320" max="3320" width="9.6328125" style="10" bestFit="1" customWidth="1"/>
    <col min="3321" max="3321" width="12.6328125" style="10" bestFit="1" customWidth="1"/>
    <col min="3322" max="3323" width="17" style="10" bestFit="1" customWidth="1"/>
    <col min="3324" max="3324" width="12.6328125" style="10" bestFit="1" customWidth="1"/>
    <col min="3325" max="3325" width="17" style="10" bestFit="1" customWidth="1"/>
    <col min="3326" max="3326" width="17.08984375" style="10" bestFit="1" customWidth="1"/>
    <col min="3327" max="3327" width="12.81640625" style="10" bestFit="1" customWidth="1"/>
    <col min="3328" max="3331" width="9.6328125" style="10" bestFit="1" customWidth="1"/>
    <col min="3332" max="3332" width="11.54296875" style="10"/>
    <col min="3333" max="3333" width="13.6328125" style="10" bestFit="1" customWidth="1"/>
    <col min="3334" max="3334" width="4.36328125" style="10" bestFit="1" customWidth="1"/>
    <col min="3335" max="3336" width="11.453125" style="10" customWidth="1"/>
    <col min="3337" max="3341" width="9.6328125" style="10" bestFit="1" customWidth="1"/>
    <col min="3342" max="3342" width="8.6328125" style="10" bestFit="1" customWidth="1"/>
    <col min="3343" max="3563" width="11.54296875" style="10"/>
    <col min="3564" max="3564" width="30.6328125" style="10" bestFit="1" customWidth="1"/>
    <col min="3565" max="3570" width="9.90625" style="10" bestFit="1" customWidth="1"/>
    <col min="3571" max="3574" width="9.6328125" style="10" bestFit="1" customWidth="1"/>
    <col min="3575" max="3575" width="8.81640625" style="10" bestFit="1" customWidth="1"/>
    <col min="3576" max="3576" width="9.6328125" style="10" bestFit="1" customWidth="1"/>
    <col min="3577" max="3577" width="12.6328125" style="10" bestFit="1" customWidth="1"/>
    <col min="3578" max="3579" width="17" style="10" bestFit="1" customWidth="1"/>
    <col min="3580" max="3580" width="12.6328125" style="10" bestFit="1" customWidth="1"/>
    <col min="3581" max="3581" width="17" style="10" bestFit="1" customWidth="1"/>
    <col min="3582" max="3582" width="17.08984375" style="10" bestFit="1" customWidth="1"/>
    <col min="3583" max="3583" width="12.81640625" style="10" bestFit="1" customWidth="1"/>
    <col min="3584" max="3587" width="9.6328125" style="10" bestFit="1" customWidth="1"/>
    <col min="3588" max="3588" width="11.54296875" style="10"/>
    <col min="3589" max="3589" width="13.6328125" style="10" bestFit="1" customWidth="1"/>
    <col min="3590" max="3590" width="4.36328125" style="10" bestFit="1" customWidth="1"/>
    <col min="3591" max="3592" width="11.453125" style="10" customWidth="1"/>
    <col min="3593" max="3597" width="9.6328125" style="10" bestFit="1" customWidth="1"/>
    <col min="3598" max="3598" width="8.6328125" style="10" bestFit="1" customWidth="1"/>
    <col min="3599" max="3819" width="11.54296875" style="10"/>
    <col min="3820" max="3820" width="30.6328125" style="10" bestFit="1" customWidth="1"/>
    <col min="3821" max="3826" width="9.90625" style="10" bestFit="1" customWidth="1"/>
    <col min="3827" max="3830" width="9.6328125" style="10" bestFit="1" customWidth="1"/>
    <col min="3831" max="3831" width="8.81640625" style="10" bestFit="1" customWidth="1"/>
    <col min="3832" max="3832" width="9.6328125" style="10" bestFit="1" customWidth="1"/>
    <col min="3833" max="3833" width="12.6328125" style="10" bestFit="1" customWidth="1"/>
    <col min="3834" max="3835" width="17" style="10" bestFit="1" customWidth="1"/>
    <col min="3836" max="3836" width="12.6328125" style="10" bestFit="1" customWidth="1"/>
    <col min="3837" max="3837" width="17" style="10" bestFit="1" customWidth="1"/>
    <col min="3838" max="3838" width="17.08984375" style="10" bestFit="1" customWidth="1"/>
    <col min="3839" max="3839" width="12.81640625" style="10" bestFit="1" customWidth="1"/>
    <col min="3840" max="3843" width="9.6328125" style="10" bestFit="1" customWidth="1"/>
    <col min="3844" max="3844" width="11.54296875" style="10"/>
    <col min="3845" max="3845" width="13.6328125" style="10" bestFit="1" customWidth="1"/>
    <col min="3846" max="3846" width="4.36328125" style="10" bestFit="1" customWidth="1"/>
    <col min="3847" max="3848" width="11.453125" style="10" customWidth="1"/>
    <col min="3849" max="3853" width="9.6328125" style="10" bestFit="1" customWidth="1"/>
    <col min="3854" max="3854" width="8.6328125" style="10" bestFit="1" customWidth="1"/>
    <col min="3855" max="4075" width="11.54296875" style="10"/>
    <col min="4076" max="4076" width="30.6328125" style="10" bestFit="1" customWidth="1"/>
    <col min="4077" max="4082" width="9.90625" style="10" bestFit="1" customWidth="1"/>
    <col min="4083" max="4086" width="9.6328125" style="10" bestFit="1" customWidth="1"/>
    <col min="4087" max="4087" width="8.81640625" style="10" bestFit="1" customWidth="1"/>
    <col min="4088" max="4088" width="9.6328125" style="10" bestFit="1" customWidth="1"/>
    <col min="4089" max="4089" width="12.6328125" style="10" bestFit="1" customWidth="1"/>
    <col min="4090" max="4091" width="17" style="10" bestFit="1" customWidth="1"/>
    <col min="4092" max="4092" width="12.6328125" style="10" bestFit="1" customWidth="1"/>
    <col min="4093" max="4093" width="17" style="10" bestFit="1" customWidth="1"/>
    <col min="4094" max="4094" width="17.08984375" style="10" bestFit="1" customWidth="1"/>
    <col min="4095" max="4095" width="12.81640625" style="10" bestFit="1" customWidth="1"/>
    <col min="4096" max="4099" width="9.6328125" style="10" bestFit="1" customWidth="1"/>
    <col min="4100" max="4100" width="11.54296875" style="10"/>
    <col min="4101" max="4101" width="13.6328125" style="10" bestFit="1" customWidth="1"/>
    <col min="4102" max="4102" width="4.36328125" style="10" bestFit="1" customWidth="1"/>
    <col min="4103" max="4104" width="11.453125" style="10" customWidth="1"/>
    <col min="4105" max="4109" width="9.6328125" style="10" bestFit="1" customWidth="1"/>
    <col min="4110" max="4110" width="8.6328125" style="10" bestFit="1" customWidth="1"/>
    <col min="4111" max="4331" width="11.54296875" style="10"/>
    <col min="4332" max="4332" width="30.6328125" style="10" bestFit="1" customWidth="1"/>
    <col min="4333" max="4338" width="9.90625" style="10" bestFit="1" customWidth="1"/>
    <col min="4339" max="4342" width="9.6328125" style="10" bestFit="1" customWidth="1"/>
    <col min="4343" max="4343" width="8.81640625" style="10" bestFit="1" customWidth="1"/>
    <col min="4344" max="4344" width="9.6328125" style="10" bestFit="1" customWidth="1"/>
    <col min="4345" max="4345" width="12.6328125" style="10" bestFit="1" customWidth="1"/>
    <col min="4346" max="4347" width="17" style="10" bestFit="1" customWidth="1"/>
    <col min="4348" max="4348" width="12.6328125" style="10" bestFit="1" customWidth="1"/>
    <col min="4349" max="4349" width="17" style="10" bestFit="1" customWidth="1"/>
    <col min="4350" max="4350" width="17.08984375" style="10" bestFit="1" customWidth="1"/>
    <col min="4351" max="4351" width="12.81640625" style="10" bestFit="1" customWidth="1"/>
    <col min="4352" max="4355" width="9.6328125" style="10" bestFit="1" customWidth="1"/>
    <col min="4356" max="4356" width="11.54296875" style="10"/>
    <col min="4357" max="4357" width="13.6328125" style="10" bestFit="1" customWidth="1"/>
    <col min="4358" max="4358" width="4.36328125" style="10" bestFit="1" customWidth="1"/>
    <col min="4359" max="4360" width="11.453125" style="10" customWidth="1"/>
    <col min="4361" max="4365" width="9.6328125" style="10" bestFit="1" customWidth="1"/>
    <col min="4366" max="4366" width="8.6328125" style="10" bestFit="1" customWidth="1"/>
    <col min="4367" max="4587" width="11.54296875" style="10"/>
    <col min="4588" max="4588" width="30.6328125" style="10" bestFit="1" customWidth="1"/>
    <col min="4589" max="4594" width="9.90625" style="10" bestFit="1" customWidth="1"/>
    <col min="4595" max="4598" width="9.6328125" style="10" bestFit="1" customWidth="1"/>
    <col min="4599" max="4599" width="8.81640625" style="10" bestFit="1" customWidth="1"/>
    <col min="4600" max="4600" width="9.6328125" style="10" bestFit="1" customWidth="1"/>
    <col min="4601" max="4601" width="12.6328125" style="10" bestFit="1" customWidth="1"/>
    <col min="4602" max="4603" width="17" style="10" bestFit="1" customWidth="1"/>
    <col min="4604" max="4604" width="12.6328125" style="10" bestFit="1" customWidth="1"/>
    <col min="4605" max="4605" width="17" style="10" bestFit="1" customWidth="1"/>
    <col min="4606" max="4606" width="17.08984375" style="10" bestFit="1" customWidth="1"/>
    <col min="4607" max="4607" width="12.81640625" style="10" bestFit="1" customWidth="1"/>
    <col min="4608" max="4611" width="9.6328125" style="10" bestFit="1" customWidth="1"/>
    <col min="4612" max="4612" width="11.54296875" style="10"/>
    <col min="4613" max="4613" width="13.6328125" style="10" bestFit="1" customWidth="1"/>
    <col min="4614" max="4614" width="4.36328125" style="10" bestFit="1" customWidth="1"/>
    <col min="4615" max="4616" width="11.453125" style="10" customWidth="1"/>
    <col min="4617" max="4621" width="9.6328125" style="10" bestFit="1" customWidth="1"/>
    <col min="4622" max="4622" width="8.6328125" style="10" bestFit="1" customWidth="1"/>
    <col min="4623" max="4843" width="11.54296875" style="10"/>
    <col min="4844" max="4844" width="30.6328125" style="10" bestFit="1" customWidth="1"/>
    <col min="4845" max="4850" width="9.90625" style="10" bestFit="1" customWidth="1"/>
    <col min="4851" max="4854" width="9.6328125" style="10" bestFit="1" customWidth="1"/>
    <col min="4855" max="4855" width="8.81640625" style="10" bestFit="1" customWidth="1"/>
    <col min="4856" max="4856" width="9.6328125" style="10" bestFit="1" customWidth="1"/>
    <col min="4857" max="4857" width="12.6328125" style="10" bestFit="1" customWidth="1"/>
    <col min="4858" max="4859" width="17" style="10" bestFit="1" customWidth="1"/>
    <col min="4860" max="4860" width="12.6328125" style="10" bestFit="1" customWidth="1"/>
    <col min="4861" max="4861" width="17" style="10" bestFit="1" customWidth="1"/>
    <col min="4862" max="4862" width="17.08984375" style="10" bestFit="1" customWidth="1"/>
    <col min="4863" max="4863" width="12.81640625" style="10" bestFit="1" customWidth="1"/>
    <col min="4864" max="4867" width="9.6328125" style="10" bestFit="1" customWidth="1"/>
    <col min="4868" max="4868" width="11.54296875" style="10"/>
    <col min="4869" max="4869" width="13.6328125" style="10" bestFit="1" customWidth="1"/>
    <col min="4870" max="4870" width="4.36328125" style="10" bestFit="1" customWidth="1"/>
    <col min="4871" max="4872" width="11.453125" style="10" customWidth="1"/>
    <col min="4873" max="4877" width="9.6328125" style="10" bestFit="1" customWidth="1"/>
    <col min="4878" max="4878" width="8.6328125" style="10" bestFit="1" customWidth="1"/>
    <col min="4879" max="5099" width="11.54296875" style="10"/>
    <col min="5100" max="5100" width="30.6328125" style="10" bestFit="1" customWidth="1"/>
    <col min="5101" max="5106" width="9.90625" style="10" bestFit="1" customWidth="1"/>
    <col min="5107" max="5110" width="9.6328125" style="10" bestFit="1" customWidth="1"/>
    <col min="5111" max="5111" width="8.81640625" style="10" bestFit="1" customWidth="1"/>
    <col min="5112" max="5112" width="9.6328125" style="10" bestFit="1" customWidth="1"/>
    <col min="5113" max="5113" width="12.6328125" style="10" bestFit="1" customWidth="1"/>
    <col min="5114" max="5115" width="17" style="10" bestFit="1" customWidth="1"/>
    <col min="5116" max="5116" width="12.6328125" style="10" bestFit="1" customWidth="1"/>
    <col min="5117" max="5117" width="17" style="10" bestFit="1" customWidth="1"/>
    <col min="5118" max="5118" width="17.08984375" style="10" bestFit="1" customWidth="1"/>
    <col min="5119" max="5119" width="12.81640625" style="10" bestFit="1" customWidth="1"/>
    <col min="5120" max="5123" width="9.6328125" style="10" bestFit="1" customWidth="1"/>
    <col min="5124" max="5124" width="11.54296875" style="10"/>
    <col min="5125" max="5125" width="13.6328125" style="10" bestFit="1" customWidth="1"/>
    <col min="5126" max="5126" width="4.36328125" style="10" bestFit="1" customWidth="1"/>
    <col min="5127" max="5128" width="11.453125" style="10" customWidth="1"/>
    <col min="5129" max="5133" width="9.6328125" style="10" bestFit="1" customWidth="1"/>
    <col min="5134" max="5134" width="8.6328125" style="10" bestFit="1" customWidth="1"/>
    <col min="5135" max="5355" width="11.54296875" style="10"/>
    <col min="5356" max="5356" width="30.6328125" style="10" bestFit="1" customWidth="1"/>
    <col min="5357" max="5362" width="9.90625" style="10" bestFit="1" customWidth="1"/>
    <col min="5363" max="5366" width="9.6328125" style="10" bestFit="1" customWidth="1"/>
    <col min="5367" max="5367" width="8.81640625" style="10" bestFit="1" customWidth="1"/>
    <col min="5368" max="5368" width="9.6328125" style="10" bestFit="1" customWidth="1"/>
    <col min="5369" max="5369" width="12.6328125" style="10" bestFit="1" customWidth="1"/>
    <col min="5370" max="5371" width="17" style="10" bestFit="1" customWidth="1"/>
    <col min="5372" max="5372" width="12.6328125" style="10" bestFit="1" customWidth="1"/>
    <col min="5373" max="5373" width="17" style="10" bestFit="1" customWidth="1"/>
    <col min="5374" max="5374" width="17.08984375" style="10" bestFit="1" customWidth="1"/>
    <col min="5375" max="5375" width="12.81640625" style="10" bestFit="1" customWidth="1"/>
    <col min="5376" max="5379" width="9.6328125" style="10" bestFit="1" customWidth="1"/>
    <col min="5380" max="5380" width="11.54296875" style="10"/>
    <col min="5381" max="5381" width="13.6328125" style="10" bestFit="1" customWidth="1"/>
    <col min="5382" max="5382" width="4.36328125" style="10" bestFit="1" customWidth="1"/>
    <col min="5383" max="5384" width="11.453125" style="10" customWidth="1"/>
    <col min="5385" max="5389" width="9.6328125" style="10" bestFit="1" customWidth="1"/>
    <col min="5390" max="5390" width="8.6328125" style="10" bestFit="1" customWidth="1"/>
    <col min="5391" max="5611" width="11.54296875" style="10"/>
    <col min="5612" max="5612" width="30.6328125" style="10" bestFit="1" customWidth="1"/>
    <col min="5613" max="5618" width="9.90625" style="10" bestFit="1" customWidth="1"/>
    <col min="5619" max="5622" width="9.6328125" style="10" bestFit="1" customWidth="1"/>
    <col min="5623" max="5623" width="8.81640625" style="10" bestFit="1" customWidth="1"/>
    <col min="5624" max="5624" width="9.6328125" style="10" bestFit="1" customWidth="1"/>
    <col min="5625" max="5625" width="12.6328125" style="10" bestFit="1" customWidth="1"/>
    <col min="5626" max="5627" width="17" style="10" bestFit="1" customWidth="1"/>
    <col min="5628" max="5628" width="12.6328125" style="10" bestFit="1" customWidth="1"/>
    <col min="5629" max="5629" width="17" style="10" bestFit="1" customWidth="1"/>
    <col min="5630" max="5630" width="17.08984375" style="10" bestFit="1" customWidth="1"/>
    <col min="5631" max="5631" width="12.81640625" style="10" bestFit="1" customWidth="1"/>
    <col min="5632" max="5635" width="9.6328125" style="10" bestFit="1" customWidth="1"/>
    <col min="5636" max="5636" width="11.54296875" style="10"/>
    <col min="5637" max="5637" width="13.6328125" style="10" bestFit="1" customWidth="1"/>
    <col min="5638" max="5638" width="4.36328125" style="10" bestFit="1" customWidth="1"/>
    <col min="5639" max="5640" width="11.453125" style="10" customWidth="1"/>
    <col min="5641" max="5645" width="9.6328125" style="10" bestFit="1" customWidth="1"/>
    <col min="5646" max="5646" width="8.6328125" style="10" bestFit="1" customWidth="1"/>
    <col min="5647" max="5867" width="11.54296875" style="10"/>
    <col min="5868" max="5868" width="30.6328125" style="10" bestFit="1" customWidth="1"/>
    <col min="5869" max="5874" width="9.90625" style="10" bestFit="1" customWidth="1"/>
    <col min="5875" max="5878" width="9.6328125" style="10" bestFit="1" customWidth="1"/>
    <col min="5879" max="5879" width="8.81640625" style="10" bestFit="1" customWidth="1"/>
    <col min="5880" max="5880" width="9.6328125" style="10" bestFit="1" customWidth="1"/>
    <col min="5881" max="5881" width="12.6328125" style="10" bestFit="1" customWidth="1"/>
    <col min="5882" max="5883" width="17" style="10" bestFit="1" customWidth="1"/>
    <col min="5884" max="5884" width="12.6328125" style="10" bestFit="1" customWidth="1"/>
    <col min="5885" max="5885" width="17" style="10" bestFit="1" customWidth="1"/>
    <col min="5886" max="5886" width="17.08984375" style="10" bestFit="1" customWidth="1"/>
    <col min="5887" max="5887" width="12.81640625" style="10" bestFit="1" customWidth="1"/>
    <col min="5888" max="5891" width="9.6328125" style="10" bestFit="1" customWidth="1"/>
    <col min="5892" max="5892" width="11.54296875" style="10"/>
    <col min="5893" max="5893" width="13.6328125" style="10" bestFit="1" customWidth="1"/>
    <col min="5894" max="5894" width="4.36328125" style="10" bestFit="1" customWidth="1"/>
    <col min="5895" max="5896" width="11.453125" style="10" customWidth="1"/>
    <col min="5897" max="5901" width="9.6328125" style="10" bestFit="1" customWidth="1"/>
    <col min="5902" max="5902" width="8.6328125" style="10" bestFit="1" customWidth="1"/>
    <col min="5903" max="6123" width="11.54296875" style="10"/>
    <col min="6124" max="6124" width="30.6328125" style="10" bestFit="1" customWidth="1"/>
    <col min="6125" max="6130" width="9.90625" style="10" bestFit="1" customWidth="1"/>
    <col min="6131" max="6134" width="9.6328125" style="10" bestFit="1" customWidth="1"/>
    <col min="6135" max="6135" width="8.81640625" style="10" bestFit="1" customWidth="1"/>
    <col min="6136" max="6136" width="9.6328125" style="10" bestFit="1" customWidth="1"/>
    <col min="6137" max="6137" width="12.6328125" style="10" bestFit="1" customWidth="1"/>
    <col min="6138" max="6139" width="17" style="10" bestFit="1" customWidth="1"/>
    <col min="6140" max="6140" width="12.6328125" style="10" bestFit="1" customWidth="1"/>
    <col min="6141" max="6141" width="17" style="10" bestFit="1" customWidth="1"/>
    <col min="6142" max="6142" width="17.08984375" style="10" bestFit="1" customWidth="1"/>
    <col min="6143" max="6143" width="12.81640625" style="10" bestFit="1" customWidth="1"/>
    <col min="6144" max="6147" width="9.6328125" style="10" bestFit="1" customWidth="1"/>
    <col min="6148" max="6148" width="11.54296875" style="10"/>
    <col min="6149" max="6149" width="13.6328125" style="10" bestFit="1" customWidth="1"/>
    <col min="6150" max="6150" width="4.36328125" style="10" bestFit="1" customWidth="1"/>
    <col min="6151" max="6152" width="11.453125" style="10" customWidth="1"/>
    <col min="6153" max="6157" width="9.6328125" style="10" bestFit="1" customWidth="1"/>
    <col min="6158" max="6158" width="8.6328125" style="10" bestFit="1" customWidth="1"/>
    <col min="6159" max="6379" width="11.54296875" style="10"/>
    <col min="6380" max="6380" width="30.6328125" style="10" bestFit="1" customWidth="1"/>
    <col min="6381" max="6386" width="9.90625" style="10" bestFit="1" customWidth="1"/>
    <col min="6387" max="6390" width="9.6328125" style="10" bestFit="1" customWidth="1"/>
    <col min="6391" max="6391" width="8.81640625" style="10" bestFit="1" customWidth="1"/>
    <col min="6392" max="6392" width="9.6328125" style="10" bestFit="1" customWidth="1"/>
    <col min="6393" max="6393" width="12.6328125" style="10" bestFit="1" customWidth="1"/>
    <col min="6394" max="6395" width="17" style="10" bestFit="1" customWidth="1"/>
    <col min="6396" max="6396" width="12.6328125" style="10" bestFit="1" customWidth="1"/>
    <col min="6397" max="6397" width="17" style="10" bestFit="1" customWidth="1"/>
    <col min="6398" max="6398" width="17.08984375" style="10" bestFit="1" customWidth="1"/>
    <col min="6399" max="6399" width="12.81640625" style="10" bestFit="1" customWidth="1"/>
    <col min="6400" max="6403" width="9.6328125" style="10" bestFit="1" customWidth="1"/>
    <col min="6404" max="6404" width="11.54296875" style="10"/>
    <col min="6405" max="6405" width="13.6328125" style="10" bestFit="1" customWidth="1"/>
    <col min="6406" max="6406" width="4.36328125" style="10" bestFit="1" customWidth="1"/>
    <col min="6407" max="6408" width="11.453125" style="10" customWidth="1"/>
    <col min="6409" max="6413" width="9.6328125" style="10" bestFit="1" customWidth="1"/>
    <col min="6414" max="6414" width="8.6328125" style="10" bestFit="1" customWidth="1"/>
    <col min="6415" max="6635" width="11.54296875" style="10"/>
    <col min="6636" max="6636" width="30.6328125" style="10" bestFit="1" customWidth="1"/>
    <col min="6637" max="6642" width="9.90625" style="10" bestFit="1" customWidth="1"/>
    <col min="6643" max="6646" width="9.6328125" style="10" bestFit="1" customWidth="1"/>
    <col min="6647" max="6647" width="8.81640625" style="10" bestFit="1" customWidth="1"/>
    <col min="6648" max="6648" width="9.6328125" style="10" bestFit="1" customWidth="1"/>
    <col min="6649" max="6649" width="12.6328125" style="10" bestFit="1" customWidth="1"/>
    <col min="6650" max="6651" width="17" style="10" bestFit="1" customWidth="1"/>
    <col min="6652" max="6652" width="12.6328125" style="10" bestFit="1" customWidth="1"/>
    <col min="6653" max="6653" width="17" style="10" bestFit="1" customWidth="1"/>
    <col min="6654" max="6654" width="17.08984375" style="10" bestFit="1" customWidth="1"/>
    <col min="6655" max="6655" width="12.81640625" style="10" bestFit="1" customWidth="1"/>
    <col min="6656" max="6659" width="9.6328125" style="10" bestFit="1" customWidth="1"/>
    <col min="6660" max="6660" width="11.54296875" style="10"/>
    <col min="6661" max="6661" width="13.6328125" style="10" bestFit="1" customWidth="1"/>
    <col min="6662" max="6662" width="4.36328125" style="10" bestFit="1" customWidth="1"/>
    <col min="6663" max="6664" width="11.453125" style="10" customWidth="1"/>
    <col min="6665" max="6669" width="9.6328125" style="10" bestFit="1" customWidth="1"/>
    <col min="6670" max="6670" width="8.6328125" style="10" bestFit="1" customWidth="1"/>
    <col min="6671" max="6891" width="11.54296875" style="10"/>
    <col min="6892" max="6892" width="30.6328125" style="10" bestFit="1" customWidth="1"/>
    <col min="6893" max="6898" width="9.90625" style="10" bestFit="1" customWidth="1"/>
    <col min="6899" max="6902" width="9.6328125" style="10" bestFit="1" customWidth="1"/>
    <col min="6903" max="6903" width="8.81640625" style="10" bestFit="1" customWidth="1"/>
    <col min="6904" max="6904" width="9.6328125" style="10" bestFit="1" customWidth="1"/>
    <col min="6905" max="6905" width="12.6328125" style="10" bestFit="1" customWidth="1"/>
    <col min="6906" max="6907" width="17" style="10" bestFit="1" customWidth="1"/>
    <col min="6908" max="6908" width="12.6328125" style="10" bestFit="1" customWidth="1"/>
    <col min="6909" max="6909" width="17" style="10" bestFit="1" customWidth="1"/>
    <col min="6910" max="6910" width="17.08984375" style="10" bestFit="1" customWidth="1"/>
    <col min="6911" max="6911" width="12.81640625" style="10" bestFit="1" customWidth="1"/>
    <col min="6912" max="6915" width="9.6328125" style="10" bestFit="1" customWidth="1"/>
    <col min="6916" max="6916" width="11.54296875" style="10"/>
    <col min="6917" max="6917" width="13.6328125" style="10" bestFit="1" customWidth="1"/>
    <col min="6918" max="6918" width="4.36328125" style="10" bestFit="1" customWidth="1"/>
    <col min="6919" max="6920" width="11.453125" style="10" customWidth="1"/>
    <col min="6921" max="6925" width="9.6328125" style="10" bestFit="1" customWidth="1"/>
    <col min="6926" max="6926" width="8.6328125" style="10" bestFit="1" customWidth="1"/>
    <col min="6927" max="7147" width="11.54296875" style="10"/>
    <col min="7148" max="7148" width="30.6328125" style="10" bestFit="1" customWidth="1"/>
    <col min="7149" max="7154" width="9.90625" style="10" bestFit="1" customWidth="1"/>
    <col min="7155" max="7158" width="9.6328125" style="10" bestFit="1" customWidth="1"/>
    <col min="7159" max="7159" width="8.81640625" style="10" bestFit="1" customWidth="1"/>
    <col min="7160" max="7160" width="9.6328125" style="10" bestFit="1" customWidth="1"/>
    <col min="7161" max="7161" width="12.6328125" style="10" bestFit="1" customWidth="1"/>
    <col min="7162" max="7163" width="17" style="10" bestFit="1" customWidth="1"/>
    <col min="7164" max="7164" width="12.6328125" style="10" bestFit="1" customWidth="1"/>
    <col min="7165" max="7165" width="17" style="10" bestFit="1" customWidth="1"/>
    <col min="7166" max="7166" width="17.08984375" style="10" bestFit="1" customWidth="1"/>
    <col min="7167" max="7167" width="12.81640625" style="10" bestFit="1" customWidth="1"/>
    <col min="7168" max="7171" width="9.6328125" style="10" bestFit="1" customWidth="1"/>
    <col min="7172" max="7172" width="11.54296875" style="10"/>
    <col min="7173" max="7173" width="13.6328125" style="10" bestFit="1" customWidth="1"/>
    <col min="7174" max="7174" width="4.36328125" style="10" bestFit="1" customWidth="1"/>
    <col min="7175" max="7176" width="11.453125" style="10" customWidth="1"/>
    <col min="7177" max="7181" width="9.6328125" style="10" bestFit="1" customWidth="1"/>
    <col min="7182" max="7182" width="8.6328125" style="10" bestFit="1" customWidth="1"/>
    <col min="7183" max="7403" width="11.54296875" style="10"/>
    <col min="7404" max="7404" width="30.6328125" style="10" bestFit="1" customWidth="1"/>
    <col min="7405" max="7410" width="9.90625" style="10" bestFit="1" customWidth="1"/>
    <col min="7411" max="7414" width="9.6328125" style="10" bestFit="1" customWidth="1"/>
    <col min="7415" max="7415" width="8.81640625" style="10" bestFit="1" customWidth="1"/>
    <col min="7416" max="7416" width="9.6328125" style="10" bestFit="1" customWidth="1"/>
    <col min="7417" max="7417" width="12.6328125" style="10" bestFit="1" customWidth="1"/>
    <col min="7418" max="7419" width="17" style="10" bestFit="1" customWidth="1"/>
    <col min="7420" max="7420" width="12.6328125" style="10" bestFit="1" customWidth="1"/>
    <col min="7421" max="7421" width="17" style="10" bestFit="1" customWidth="1"/>
    <col min="7422" max="7422" width="17.08984375" style="10" bestFit="1" customWidth="1"/>
    <col min="7423" max="7423" width="12.81640625" style="10" bestFit="1" customWidth="1"/>
    <col min="7424" max="7427" width="9.6328125" style="10" bestFit="1" customWidth="1"/>
    <col min="7428" max="7428" width="11.54296875" style="10"/>
    <col min="7429" max="7429" width="13.6328125" style="10" bestFit="1" customWidth="1"/>
    <col min="7430" max="7430" width="4.36328125" style="10" bestFit="1" customWidth="1"/>
    <col min="7431" max="7432" width="11.453125" style="10" customWidth="1"/>
    <col min="7433" max="7437" width="9.6328125" style="10" bestFit="1" customWidth="1"/>
    <col min="7438" max="7438" width="8.6328125" style="10" bestFit="1" customWidth="1"/>
    <col min="7439" max="7659" width="11.54296875" style="10"/>
    <col min="7660" max="7660" width="30.6328125" style="10" bestFit="1" customWidth="1"/>
    <col min="7661" max="7666" width="9.90625" style="10" bestFit="1" customWidth="1"/>
    <col min="7667" max="7670" width="9.6328125" style="10" bestFit="1" customWidth="1"/>
    <col min="7671" max="7671" width="8.81640625" style="10" bestFit="1" customWidth="1"/>
    <col min="7672" max="7672" width="9.6328125" style="10" bestFit="1" customWidth="1"/>
    <col min="7673" max="7673" width="12.6328125" style="10" bestFit="1" customWidth="1"/>
    <col min="7674" max="7675" width="17" style="10" bestFit="1" customWidth="1"/>
    <col min="7676" max="7676" width="12.6328125" style="10" bestFit="1" customWidth="1"/>
    <col min="7677" max="7677" width="17" style="10" bestFit="1" customWidth="1"/>
    <col min="7678" max="7678" width="17.08984375" style="10" bestFit="1" customWidth="1"/>
    <col min="7679" max="7679" width="12.81640625" style="10" bestFit="1" customWidth="1"/>
    <col min="7680" max="7683" width="9.6328125" style="10" bestFit="1" customWidth="1"/>
    <col min="7684" max="7684" width="11.54296875" style="10"/>
    <col min="7685" max="7685" width="13.6328125" style="10" bestFit="1" customWidth="1"/>
    <col min="7686" max="7686" width="4.36328125" style="10" bestFit="1" customWidth="1"/>
    <col min="7687" max="7688" width="11.453125" style="10" customWidth="1"/>
    <col min="7689" max="7693" width="9.6328125" style="10" bestFit="1" customWidth="1"/>
    <col min="7694" max="7694" width="8.6328125" style="10" bestFit="1" customWidth="1"/>
    <col min="7695" max="7915" width="11.54296875" style="10"/>
    <col min="7916" max="7916" width="30.6328125" style="10" bestFit="1" customWidth="1"/>
    <col min="7917" max="7922" width="9.90625" style="10" bestFit="1" customWidth="1"/>
    <col min="7923" max="7926" width="9.6328125" style="10" bestFit="1" customWidth="1"/>
    <col min="7927" max="7927" width="8.81640625" style="10" bestFit="1" customWidth="1"/>
    <col min="7928" max="7928" width="9.6328125" style="10" bestFit="1" customWidth="1"/>
    <col min="7929" max="7929" width="12.6328125" style="10" bestFit="1" customWidth="1"/>
    <col min="7930" max="7931" width="17" style="10" bestFit="1" customWidth="1"/>
    <col min="7932" max="7932" width="12.6328125" style="10" bestFit="1" customWidth="1"/>
    <col min="7933" max="7933" width="17" style="10" bestFit="1" customWidth="1"/>
    <col min="7934" max="7934" width="17.08984375" style="10" bestFit="1" customWidth="1"/>
    <col min="7935" max="7935" width="12.81640625" style="10" bestFit="1" customWidth="1"/>
    <col min="7936" max="7939" width="9.6328125" style="10" bestFit="1" customWidth="1"/>
    <col min="7940" max="7940" width="11.54296875" style="10"/>
    <col min="7941" max="7941" width="13.6328125" style="10" bestFit="1" customWidth="1"/>
    <col min="7942" max="7942" width="4.36328125" style="10" bestFit="1" customWidth="1"/>
    <col min="7943" max="7944" width="11.453125" style="10" customWidth="1"/>
    <col min="7945" max="7949" width="9.6328125" style="10" bestFit="1" customWidth="1"/>
    <col min="7950" max="7950" width="8.6328125" style="10" bestFit="1" customWidth="1"/>
    <col min="7951" max="8171" width="11.54296875" style="10"/>
    <col min="8172" max="8172" width="30.6328125" style="10" bestFit="1" customWidth="1"/>
    <col min="8173" max="8178" width="9.90625" style="10" bestFit="1" customWidth="1"/>
    <col min="8179" max="8182" width="9.6328125" style="10" bestFit="1" customWidth="1"/>
    <col min="8183" max="8183" width="8.81640625" style="10" bestFit="1" customWidth="1"/>
    <col min="8184" max="8184" width="9.6328125" style="10" bestFit="1" customWidth="1"/>
    <col min="8185" max="8185" width="12.6328125" style="10" bestFit="1" customWidth="1"/>
    <col min="8186" max="8187" width="17" style="10" bestFit="1" customWidth="1"/>
    <col min="8188" max="8188" width="12.6328125" style="10" bestFit="1" customWidth="1"/>
    <col min="8189" max="8189" width="17" style="10" bestFit="1" customWidth="1"/>
    <col min="8190" max="8190" width="17.08984375" style="10" bestFit="1" customWidth="1"/>
    <col min="8191" max="8191" width="12.81640625" style="10" bestFit="1" customWidth="1"/>
    <col min="8192" max="8195" width="9.6328125" style="10" bestFit="1" customWidth="1"/>
    <col min="8196" max="8196" width="11.54296875" style="10"/>
    <col min="8197" max="8197" width="13.6328125" style="10" bestFit="1" customWidth="1"/>
    <col min="8198" max="8198" width="4.36328125" style="10" bestFit="1" customWidth="1"/>
    <col min="8199" max="8200" width="11.453125" style="10" customWidth="1"/>
    <col min="8201" max="8205" width="9.6328125" style="10" bestFit="1" customWidth="1"/>
    <col min="8206" max="8206" width="8.6328125" style="10" bestFit="1" customWidth="1"/>
    <col min="8207" max="8427" width="11.54296875" style="10"/>
    <col min="8428" max="8428" width="30.6328125" style="10" bestFit="1" customWidth="1"/>
    <col min="8429" max="8434" width="9.90625" style="10" bestFit="1" customWidth="1"/>
    <col min="8435" max="8438" width="9.6328125" style="10" bestFit="1" customWidth="1"/>
    <col min="8439" max="8439" width="8.81640625" style="10" bestFit="1" customWidth="1"/>
    <col min="8440" max="8440" width="9.6328125" style="10" bestFit="1" customWidth="1"/>
    <col min="8441" max="8441" width="12.6328125" style="10" bestFit="1" customWidth="1"/>
    <col min="8442" max="8443" width="17" style="10" bestFit="1" customWidth="1"/>
    <col min="8444" max="8444" width="12.6328125" style="10" bestFit="1" customWidth="1"/>
    <col min="8445" max="8445" width="17" style="10" bestFit="1" customWidth="1"/>
    <col min="8446" max="8446" width="17.08984375" style="10" bestFit="1" customWidth="1"/>
    <col min="8447" max="8447" width="12.81640625" style="10" bestFit="1" customWidth="1"/>
    <col min="8448" max="8451" width="9.6328125" style="10" bestFit="1" customWidth="1"/>
    <col min="8452" max="8452" width="11.54296875" style="10"/>
    <col min="8453" max="8453" width="13.6328125" style="10" bestFit="1" customWidth="1"/>
    <col min="8454" max="8454" width="4.36328125" style="10" bestFit="1" customWidth="1"/>
    <col min="8455" max="8456" width="11.453125" style="10" customWidth="1"/>
    <col min="8457" max="8461" width="9.6328125" style="10" bestFit="1" customWidth="1"/>
    <col min="8462" max="8462" width="8.6328125" style="10" bestFit="1" customWidth="1"/>
    <col min="8463" max="8683" width="11.54296875" style="10"/>
    <col min="8684" max="8684" width="30.6328125" style="10" bestFit="1" customWidth="1"/>
    <col min="8685" max="8690" width="9.90625" style="10" bestFit="1" customWidth="1"/>
    <col min="8691" max="8694" width="9.6328125" style="10" bestFit="1" customWidth="1"/>
    <col min="8695" max="8695" width="8.81640625" style="10" bestFit="1" customWidth="1"/>
    <col min="8696" max="8696" width="9.6328125" style="10" bestFit="1" customWidth="1"/>
    <col min="8697" max="8697" width="12.6328125" style="10" bestFit="1" customWidth="1"/>
    <col min="8698" max="8699" width="17" style="10" bestFit="1" customWidth="1"/>
    <col min="8700" max="8700" width="12.6328125" style="10" bestFit="1" customWidth="1"/>
    <col min="8701" max="8701" width="17" style="10" bestFit="1" customWidth="1"/>
    <col min="8702" max="8702" width="17.08984375" style="10" bestFit="1" customWidth="1"/>
    <col min="8703" max="8703" width="12.81640625" style="10" bestFit="1" customWidth="1"/>
    <col min="8704" max="8707" width="9.6328125" style="10" bestFit="1" customWidth="1"/>
    <col min="8708" max="8708" width="11.54296875" style="10"/>
    <col min="8709" max="8709" width="13.6328125" style="10" bestFit="1" customWidth="1"/>
    <col min="8710" max="8710" width="4.36328125" style="10" bestFit="1" customWidth="1"/>
    <col min="8711" max="8712" width="11.453125" style="10" customWidth="1"/>
    <col min="8713" max="8717" width="9.6328125" style="10" bestFit="1" customWidth="1"/>
    <col min="8718" max="8718" width="8.6328125" style="10" bestFit="1" customWidth="1"/>
    <col min="8719" max="8939" width="11.54296875" style="10"/>
    <col min="8940" max="8940" width="30.6328125" style="10" bestFit="1" customWidth="1"/>
    <col min="8941" max="8946" width="9.90625" style="10" bestFit="1" customWidth="1"/>
    <col min="8947" max="8950" width="9.6328125" style="10" bestFit="1" customWidth="1"/>
    <col min="8951" max="8951" width="8.81640625" style="10" bestFit="1" customWidth="1"/>
    <col min="8952" max="8952" width="9.6328125" style="10" bestFit="1" customWidth="1"/>
    <col min="8953" max="8953" width="12.6328125" style="10" bestFit="1" customWidth="1"/>
    <col min="8954" max="8955" width="17" style="10" bestFit="1" customWidth="1"/>
    <col min="8956" max="8956" width="12.6328125" style="10" bestFit="1" customWidth="1"/>
    <col min="8957" max="8957" width="17" style="10" bestFit="1" customWidth="1"/>
    <col min="8958" max="8958" width="17.08984375" style="10" bestFit="1" customWidth="1"/>
    <col min="8959" max="8959" width="12.81640625" style="10" bestFit="1" customWidth="1"/>
    <col min="8960" max="8963" width="9.6328125" style="10" bestFit="1" customWidth="1"/>
    <col min="8964" max="8964" width="11.54296875" style="10"/>
    <col min="8965" max="8965" width="13.6328125" style="10" bestFit="1" customWidth="1"/>
    <col min="8966" max="8966" width="4.36328125" style="10" bestFit="1" customWidth="1"/>
    <col min="8967" max="8968" width="11.453125" style="10" customWidth="1"/>
    <col min="8969" max="8973" width="9.6328125" style="10" bestFit="1" customWidth="1"/>
    <col min="8974" max="8974" width="8.6328125" style="10" bestFit="1" customWidth="1"/>
    <col min="8975" max="9195" width="11.54296875" style="10"/>
    <col min="9196" max="9196" width="30.6328125" style="10" bestFit="1" customWidth="1"/>
    <col min="9197" max="9202" width="9.90625" style="10" bestFit="1" customWidth="1"/>
    <col min="9203" max="9206" width="9.6328125" style="10" bestFit="1" customWidth="1"/>
    <col min="9207" max="9207" width="8.81640625" style="10" bestFit="1" customWidth="1"/>
    <col min="9208" max="9208" width="9.6328125" style="10" bestFit="1" customWidth="1"/>
    <col min="9209" max="9209" width="12.6328125" style="10" bestFit="1" customWidth="1"/>
    <col min="9210" max="9211" width="17" style="10" bestFit="1" customWidth="1"/>
    <col min="9212" max="9212" width="12.6328125" style="10" bestFit="1" customWidth="1"/>
    <col min="9213" max="9213" width="17" style="10" bestFit="1" customWidth="1"/>
    <col min="9214" max="9214" width="17.08984375" style="10" bestFit="1" customWidth="1"/>
    <col min="9215" max="9215" width="12.81640625" style="10" bestFit="1" customWidth="1"/>
    <col min="9216" max="9219" width="9.6328125" style="10" bestFit="1" customWidth="1"/>
    <col min="9220" max="9220" width="11.54296875" style="10"/>
    <col min="9221" max="9221" width="13.6328125" style="10" bestFit="1" customWidth="1"/>
    <col min="9222" max="9222" width="4.36328125" style="10" bestFit="1" customWidth="1"/>
    <col min="9223" max="9224" width="11.453125" style="10" customWidth="1"/>
    <col min="9225" max="9229" width="9.6328125" style="10" bestFit="1" customWidth="1"/>
    <col min="9230" max="9230" width="8.6328125" style="10" bestFit="1" customWidth="1"/>
    <col min="9231" max="9451" width="11.54296875" style="10"/>
    <col min="9452" max="9452" width="30.6328125" style="10" bestFit="1" customWidth="1"/>
    <col min="9453" max="9458" width="9.90625" style="10" bestFit="1" customWidth="1"/>
    <col min="9459" max="9462" width="9.6328125" style="10" bestFit="1" customWidth="1"/>
    <col min="9463" max="9463" width="8.81640625" style="10" bestFit="1" customWidth="1"/>
    <col min="9464" max="9464" width="9.6328125" style="10" bestFit="1" customWidth="1"/>
    <col min="9465" max="9465" width="12.6328125" style="10" bestFit="1" customWidth="1"/>
    <col min="9466" max="9467" width="17" style="10" bestFit="1" customWidth="1"/>
    <col min="9468" max="9468" width="12.6328125" style="10" bestFit="1" customWidth="1"/>
    <col min="9469" max="9469" width="17" style="10" bestFit="1" customWidth="1"/>
    <col min="9470" max="9470" width="17.08984375" style="10" bestFit="1" customWidth="1"/>
    <col min="9471" max="9471" width="12.81640625" style="10" bestFit="1" customWidth="1"/>
    <col min="9472" max="9475" width="9.6328125" style="10" bestFit="1" customWidth="1"/>
    <col min="9476" max="9476" width="11.54296875" style="10"/>
    <col min="9477" max="9477" width="13.6328125" style="10" bestFit="1" customWidth="1"/>
    <col min="9478" max="9478" width="4.36328125" style="10" bestFit="1" customWidth="1"/>
    <col min="9479" max="9480" width="11.453125" style="10" customWidth="1"/>
    <col min="9481" max="9485" width="9.6328125" style="10" bestFit="1" customWidth="1"/>
    <col min="9486" max="9486" width="8.6328125" style="10" bestFit="1" customWidth="1"/>
    <col min="9487" max="9707" width="11.54296875" style="10"/>
    <col min="9708" max="9708" width="30.6328125" style="10" bestFit="1" customWidth="1"/>
    <col min="9709" max="9714" width="9.90625" style="10" bestFit="1" customWidth="1"/>
    <col min="9715" max="9718" width="9.6328125" style="10" bestFit="1" customWidth="1"/>
    <col min="9719" max="9719" width="8.81640625" style="10" bestFit="1" customWidth="1"/>
    <col min="9720" max="9720" width="9.6328125" style="10" bestFit="1" customWidth="1"/>
    <col min="9721" max="9721" width="12.6328125" style="10" bestFit="1" customWidth="1"/>
    <col min="9722" max="9723" width="17" style="10" bestFit="1" customWidth="1"/>
    <col min="9724" max="9724" width="12.6328125" style="10" bestFit="1" customWidth="1"/>
    <col min="9725" max="9725" width="17" style="10" bestFit="1" customWidth="1"/>
    <col min="9726" max="9726" width="17.08984375" style="10" bestFit="1" customWidth="1"/>
    <col min="9727" max="9727" width="12.81640625" style="10" bestFit="1" customWidth="1"/>
    <col min="9728" max="9731" width="9.6328125" style="10" bestFit="1" customWidth="1"/>
    <col min="9732" max="9732" width="11.54296875" style="10"/>
    <col min="9733" max="9733" width="13.6328125" style="10" bestFit="1" customWidth="1"/>
    <col min="9734" max="9734" width="4.36328125" style="10" bestFit="1" customWidth="1"/>
    <col min="9735" max="9736" width="11.453125" style="10" customWidth="1"/>
    <col min="9737" max="9741" width="9.6328125" style="10" bestFit="1" customWidth="1"/>
    <col min="9742" max="9742" width="8.6328125" style="10" bestFit="1" customWidth="1"/>
    <col min="9743" max="9963" width="11.54296875" style="10"/>
    <col min="9964" max="9964" width="30.6328125" style="10" bestFit="1" customWidth="1"/>
    <col min="9965" max="9970" width="9.90625" style="10" bestFit="1" customWidth="1"/>
    <col min="9971" max="9974" width="9.6328125" style="10" bestFit="1" customWidth="1"/>
    <col min="9975" max="9975" width="8.81640625" style="10" bestFit="1" customWidth="1"/>
    <col min="9976" max="9976" width="9.6328125" style="10" bestFit="1" customWidth="1"/>
    <col min="9977" max="9977" width="12.6328125" style="10" bestFit="1" customWidth="1"/>
    <col min="9978" max="9979" width="17" style="10" bestFit="1" customWidth="1"/>
    <col min="9980" max="9980" width="12.6328125" style="10" bestFit="1" customWidth="1"/>
    <col min="9981" max="9981" width="17" style="10" bestFit="1" customWidth="1"/>
    <col min="9982" max="9982" width="17.08984375" style="10" bestFit="1" customWidth="1"/>
    <col min="9983" max="9983" width="12.81640625" style="10" bestFit="1" customWidth="1"/>
    <col min="9984" max="9987" width="9.6328125" style="10" bestFit="1" customWidth="1"/>
    <col min="9988" max="9988" width="11.54296875" style="10"/>
    <col min="9989" max="9989" width="13.6328125" style="10" bestFit="1" customWidth="1"/>
    <col min="9990" max="9990" width="4.36328125" style="10" bestFit="1" customWidth="1"/>
    <col min="9991" max="9992" width="11.453125" style="10" customWidth="1"/>
    <col min="9993" max="9997" width="9.6328125" style="10" bestFit="1" customWidth="1"/>
    <col min="9998" max="9998" width="8.6328125" style="10" bestFit="1" customWidth="1"/>
    <col min="9999" max="10219" width="11.54296875" style="10"/>
    <col min="10220" max="10220" width="30.6328125" style="10" bestFit="1" customWidth="1"/>
    <col min="10221" max="10226" width="9.90625" style="10" bestFit="1" customWidth="1"/>
    <col min="10227" max="10230" width="9.6328125" style="10" bestFit="1" customWidth="1"/>
    <col min="10231" max="10231" width="8.81640625" style="10" bestFit="1" customWidth="1"/>
    <col min="10232" max="10232" width="9.6328125" style="10" bestFit="1" customWidth="1"/>
    <col min="10233" max="10233" width="12.6328125" style="10" bestFit="1" customWidth="1"/>
    <col min="10234" max="10235" width="17" style="10" bestFit="1" customWidth="1"/>
    <col min="10236" max="10236" width="12.6328125" style="10" bestFit="1" customWidth="1"/>
    <col min="10237" max="10237" width="17" style="10" bestFit="1" customWidth="1"/>
    <col min="10238" max="10238" width="17.08984375" style="10" bestFit="1" customWidth="1"/>
    <col min="10239" max="10239" width="12.81640625" style="10" bestFit="1" customWidth="1"/>
    <col min="10240" max="10243" width="9.6328125" style="10" bestFit="1" customWidth="1"/>
    <col min="10244" max="10244" width="11.54296875" style="10"/>
    <col min="10245" max="10245" width="13.6328125" style="10" bestFit="1" customWidth="1"/>
    <col min="10246" max="10246" width="4.36328125" style="10" bestFit="1" customWidth="1"/>
    <col min="10247" max="10248" width="11.453125" style="10" customWidth="1"/>
    <col min="10249" max="10253" width="9.6328125" style="10" bestFit="1" customWidth="1"/>
    <col min="10254" max="10254" width="8.6328125" style="10" bestFit="1" customWidth="1"/>
    <col min="10255" max="10475" width="11.54296875" style="10"/>
    <col min="10476" max="10476" width="30.6328125" style="10" bestFit="1" customWidth="1"/>
    <col min="10477" max="10482" width="9.90625" style="10" bestFit="1" customWidth="1"/>
    <col min="10483" max="10486" width="9.6328125" style="10" bestFit="1" customWidth="1"/>
    <col min="10487" max="10487" width="8.81640625" style="10" bestFit="1" customWidth="1"/>
    <col min="10488" max="10488" width="9.6328125" style="10" bestFit="1" customWidth="1"/>
    <col min="10489" max="10489" width="12.6328125" style="10" bestFit="1" customWidth="1"/>
    <col min="10490" max="10491" width="17" style="10" bestFit="1" customWidth="1"/>
    <col min="10492" max="10492" width="12.6328125" style="10" bestFit="1" customWidth="1"/>
    <col min="10493" max="10493" width="17" style="10" bestFit="1" customWidth="1"/>
    <col min="10494" max="10494" width="17.08984375" style="10" bestFit="1" customWidth="1"/>
    <col min="10495" max="10495" width="12.81640625" style="10" bestFit="1" customWidth="1"/>
    <col min="10496" max="10499" width="9.6328125" style="10" bestFit="1" customWidth="1"/>
    <col min="10500" max="10500" width="11.54296875" style="10"/>
    <col min="10501" max="10501" width="13.6328125" style="10" bestFit="1" customWidth="1"/>
    <col min="10502" max="10502" width="4.36328125" style="10" bestFit="1" customWidth="1"/>
    <col min="10503" max="10504" width="11.453125" style="10" customWidth="1"/>
    <col min="10505" max="10509" width="9.6328125" style="10" bestFit="1" customWidth="1"/>
    <col min="10510" max="10510" width="8.6328125" style="10" bestFit="1" customWidth="1"/>
    <col min="10511" max="10731" width="11.54296875" style="10"/>
    <col min="10732" max="10732" width="30.6328125" style="10" bestFit="1" customWidth="1"/>
    <col min="10733" max="10738" width="9.90625" style="10" bestFit="1" customWidth="1"/>
    <col min="10739" max="10742" width="9.6328125" style="10" bestFit="1" customWidth="1"/>
    <col min="10743" max="10743" width="8.81640625" style="10" bestFit="1" customWidth="1"/>
    <col min="10744" max="10744" width="9.6328125" style="10" bestFit="1" customWidth="1"/>
    <col min="10745" max="10745" width="12.6328125" style="10" bestFit="1" customWidth="1"/>
    <col min="10746" max="10747" width="17" style="10" bestFit="1" customWidth="1"/>
    <col min="10748" max="10748" width="12.6328125" style="10" bestFit="1" customWidth="1"/>
    <col min="10749" max="10749" width="17" style="10" bestFit="1" customWidth="1"/>
    <col min="10750" max="10750" width="17.08984375" style="10" bestFit="1" customWidth="1"/>
    <col min="10751" max="10751" width="12.81640625" style="10" bestFit="1" customWidth="1"/>
    <col min="10752" max="10755" width="9.6328125" style="10" bestFit="1" customWidth="1"/>
    <col min="10756" max="10756" width="11.54296875" style="10"/>
    <col min="10757" max="10757" width="13.6328125" style="10" bestFit="1" customWidth="1"/>
    <col min="10758" max="10758" width="4.36328125" style="10" bestFit="1" customWidth="1"/>
    <col min="10759" max="10760" width="11.453125" style="10" customWidth="1"/>
    <col min="10761" max="10765" width="9.6328125" style="10" bestFit="1" customWidth="1"/>
    <col min="10766" max="10766" width="8.6328125" style="10" bestFit="1" customWidth="1"/>
    <col min="10767" max="10987" width="11.54296875" style="10"/>
    <col min="10988" max="10988" width="30.6328125" style="10" bestFit="1" customWidth="1"/>
    <col min="10989" max="10994" width="9.90625" style="10" bestFit="1" customWidth="1"/>
    <col min="10995" max="10998" width="9.6328125" style="10" bestFit="1" customWidth="1"/>
    <col min="10999" max="10999" width="8.81640625" style="10" bestFit="1" customWidth="1"/>
    <col min="11000" max="11000" width="9.6328125" style="10" bestFit="1" customWidth="1"/>
    <col min="11001" max="11001" width="12.6328125" style="10" bestFit="1" customWidth="1"/>
    <col min="11002" max="11003" width="17" style="10" bestFit="1" customWidth="1"/>
    <col min="11004" max="11004" width="12.6328125" style="10" bestFit="1" customWidth="1"/>
    <col min="11005" max="11005" width="17" style="10" bestFit="1" customWidth="1"/>
    <col min="11006" max="11006" width="17.08984375" style="10" bestFit="1" customWidth="1"/>
    <col min="11007" max="11007" width="12.81640625" style="10" bestFit="1" customWidth="1"/>
    <col min="11008" max="11011" width="9.6328125" style="10" bestFit="1" customWidth="1"/>
    <col min="11012" max="11012" width="11.54296875" style="10"/>
    <col min="11013" max="11013" width="13.6328125" style="10" bestFit="1" customWidth="1"/>
    <col min="11014" max="11014" width="4.36328125" style="10" bestFit="1" customWidth="1"/>
    <col min="11015" max="11016" width="11.453125" style="10" customWidth="1"/>
    <col min="11017" max="11021" width="9.6328125" style="10" bestFit="1" customWidth="1"/>
    <col min="11022" max="11022" width="8.6328125" style="10" bestFit="1" customWidth="1"/>
    <col min="11023" max="11243" width="11.54296875" style="10"/>
    <col min="11244" max="11244" width="30.6328125" style="10" bestFit="1" customWidth="1"/>
    <col min="11245" max="11250" width="9.90625" style="10" bestFit="1" customWidth="1"/>
    <col min="11251" max="11254" width="9.6328125" style="10" bestFit="1" customWidth="1"/>
    <col min="11255" max="11255" width="8.81640625" style="10" bestFit="1" customWidth="1"/>
    <col min="11256" max="11256" width="9.6328125" style="10" bestFit="1" customWidth="1"/>
    <col min="11257" max="11257" width="12.6328125" style="10" bestFit="1" customWidth="1"/>
    <col min="11258" max="11259" width="17" style="10" bestFit="1" customWidth="1"/>
    <col min="11260" max="11260" width="12.6328125" style="10" bestFit="1" customWidth="1"/>
    <col min="11261" max="11261" width="17" style="10" bestFit="1" customWidth="1"/>
    <col min="11262" max="11262" width="17.08984375" style="10" bestFit="1" customWidth="1"/>
    <col min="11263" max="11263" width="12.81640625" style="10" bestFit="1" customWidth="1"/>
    <col min="11264" max="11267" width="9.6328125" style="10" bestFit="1" customWidth="1"/>
    <col min="11268" max="11268" width="11.54296875" style="10"/>
    <col min="11269" max="11269" width="13.6328125" style="10" bestFit="1" customWidth="1"/>
    <col min="11270" max="11270" width="4.36328125" style="10" bestFit="1" customWidth="1"/>
    <col min="11271" max="11272" width="11.453125" style="10" customWidth="1"/>
    <col min="11273" max="11277" width="9.6328125" style="10" bestFit="1" customWidth="1"/>
    <col min="11278" max="11278" width="8.6328125" style="10" bestFit="1" customWidth="1"/>
    <col min="11279" max="11499" width="11.54296875" style="10"/>
    <col min="11500" max="11500" width="30.6328125" style="10" bestFit="1" customWidth="1"/>
    <col min="11501" max="11506" width="9.90625" style="10" bestFit="1" customWidth="1"/>
    <col min="11507" max="11510" width="9.6328125" style="10" bestFit="1" customWidth="1"/>
    <col min="11511" max="11511" width="8.81640625" style="10" bestFit="1" customWidth="1"/>
    <col min="11512" max="11512" width="9.6328125" style="10" bestFit="1" customWidth="1"/>
    <col min="11513" max="11513" width="12.6328125" style="10" bestFit="1" customWidth="1"/>
    <col min="11514" max="11515" width="17" style="10" bestFit="1" customWidth="1"/>
    <col min="11516" max="11516" width="12.6328125" style="10" bestFit="1" customWidth="1"/>
    <col min="11517" max="11517" width="17" style="10" bestFit="1" customWidth="1"/>
    <col min="11518" max="11518" width="17.08984375" style="10" bestFit="1" customWidth="1"/>
    <col min="11519" max="11519" width="12.81640625" style="10" bestFit="1" customWidth="1"/>
    <col min="11520" max="11523" width="9.6328125" style="10" bestFit="1" customWidth="1"/>
    <col min="11524" max="11524" width="11.54296875" style="10"/>
    <col min="11525" max="11525" width="13.6328125" style="10" bestFit="1" customWidth="1"/>
    <col min="11526" max="11526" width="4.36328125" style="10" bestFit="1" customWidth="1"/>
    <col min="11527" max="11528" width="11.453125" style="10" customWidth="1"/>
    <col min="11529" max="11533" width="9.6328125" style="10" bestFit="1" customWidth="1"/>
    <col min="11534" max="11534" width="8.6328125" style="10" bestFit="1" customWidth="1"/>
    <col min="11535" max="11755" width="11.54296875" style="10"/>
    <col min="11756" max="11756" width="30.6328125" style="10" bestFit="1" customWidth="1"/>
    <col min="11757" max="11762" width="9.90625" style="10" bestFit="1" customWidth="1"/>
    <col min="11763" max="11766" width="9.6328125" style="10" bestFit="1" customWidth="1"/>
    <col min="11767" max="11767" width="8.81640625" style="10" bestFit="1" customWidth="1"/>
    <col min="11768" max="11768" width="9.6328125" style="10" bestFit="1" customWidth="1"/>
    <col min="11769" max="11769" width="12.6328125" style="10" bestFit="1" customWidth="1"/>
    <col min="11770" max="11771" width="17" style="10" bestFit="1" customWidth="1"/>
    <col min="11772" max="11772" width="12.6328125" style="10" bestFit="1" customWidth="1"/>
    <col min="11773" max="11773" width="17" style="10" bestFit="1" customWidth="1"/>
    <col min="11774" max="11774" width="17.08984375" style="10" bestFit="1" customWidth="1"/>
    <col min="11775" max="11775" width="12.81640625" style="10" bestFit="1" customWidth="1"/>
    <col min="11776" max="11779" width="9.6328125" style="10" bestFit="1" customWidth="1"/>
    <col min="11780" max="11780" width="11.54296875" style="10"/>
    <col min="11781" max="11781" width="13.6328125" style="10" bestFit="1" customWidth="1"/>
    <col min="11782" max="11782" width="4.36328125" style="10" bestFit="1" customWidth="1"/>
    <col min="11783" max="11784" width="11.453125" style="10" customWidth="1"/>
    <col min="11785" max="11789" width="9.6328125" style="10" bestFit="1" customWidth="1"/>
    <col min="11790" max="11790" width="8.6328125" style="10" bestFit="1" customWidth="1"/>
    <col min="11791" max="12011" width="11.54296875" style="10"/>
    <col min="12012" max="12012" width="30.6328125" style="10" bestFit="1" customWidth="1"/>
    <col min="12013" max="12018" width="9.90625" style="10" bestFit="1" customWidth="1"/>
    <col min="12019" max="12022" width="9.6328125" style="10" bestFit="1" customWidth="1"/>
    <col min="12023" max="12023" width="8.81640625" style="10" bestFit="1" customWidth="1"/>
    <col min="12024" max="12024" width="9.6328125" style="10" bestFit="1" customWidth="1"/>
    <col min="12025" max="12025" width="12.6328125" style="10" bestFit="1" customWidth="1"/>
    <col min="12026" max="12027" width="17" style="10" bestFit="1" customWidth="1"/>
    <col min="12028" max="12028" width="12.6328125" style="10" bestFit="1" customWidth="1"/>
    <col min="12029" max="12029" width="17" style="10" bestFit="1" customWidth="1"/>
    <col min="12030" max="12030" width="17.08984375" style="10" bestFit="1" customWidth="1"/>
    <col min="12031" max="12031" width="12.81640625" style="10" bestFit="1" customWidth="1"/>
    <col min="12032" max="12035" width="9.6328125" style="10" bestFit="1" customWidth="1"/>
    <col min="12036" max="12036" width="11.54296875" style="10"/>
    <col min="12037" max="12037" width="13.6328125" style="10" bestFit="1" customWidth="1"/>
    <col min="12038" max="12038" width="4.36328125" style="10" bestFit="1" customWidth="1"/>
    <col min="12039" max="12040" width="11.453125" style="10" customWidth="1"/>
    <col min="12041" max="12045" width="9.6328125" style="10" bestFit="1" customWidth="1"/>
    <col min="12046" max="12046" width="8.6328125" style="10" bestFit="1" customWidth="1"/>
    <col min="12047" max="12267" width="11.54296875" style="10"/>
    <col min="12268" max="12268" width="30.6328125" style="10" bestFit="1" customWidth="1"/>
    <col min="12269" max="12274" width="9.90625" style="10" bestFit="1" customWidth="1"/>
    <col min="12275" max="12278" width="9.6328125" style="10" bestFit="1" customWidth="1"/>
    <col min="12279" max="12279" width="8.81640625" style="10" bestFit="1" customWidth="1"/>
    <col min="12280" max="12280" width="9.6328125" style="10" bestFit="1" customWidth="1"/>
    <col min="12281" max="12281" width="12.6328125" style="10" bestFit="1" customWidth="1"/>
    <col min="12282" max="12283" width="17" style="10" bestFit="1" customWidth="1"/>
    <col min="12284" max="12284" width="12.6328125" style="10" bestFit="1" customWidth="1"/>
    <col min="12285" max="12285" width="17" style="10" bestFit="1" customWidth="1"/>
    <col min="12286" max="12286" width="17.08984375" style="10" bestFit="1" customWidth="1"/>
    <col min="12287" max="12287" width="12.81640625" style="10" bestFit="1" customWidth="1"/>
    <col min="12288" max="12291" width="9.6328125" style="10" bestFit="1" customWidth="1"/>
    <col min="12292" max="12292" width="11.54296875" style="10"/>
    <col min="12293" max="12293" width="13.6328125" style="10" bestFit="1" customWidth="1"/>
    <col min="12294" max="12294" width="4.36328125" style="10" bestFit="1" customWidth="1"/>
    <col min="12295" max="12296" width="11.453125" style="10" customWidth="1"/>
    <col min="12297" max="12301" width="9.6328125" style="10" bestFit="1" customWidth="1"/>
    <col min="12302" max="12302" width="8.6328125" style="10" bestFit="1" customWidth="1"/>
    <col min="12303" max="12523" width="11.54296875" style="10"/>
    <col min="12524" max="12524" width="30.6328125" style="10" bestFit="1" customWidth="1"/>
    <col min="12525" max="12530" width="9.90625" style="10" bestFit="1" customWidth="1"/>
    <col min="12531" max="12534" width="9.6328125" style="10" bestFit="1" customWidth="1"/>
    <col min="12535" max="12535" width="8.81640625" style="10" bestFit="1" customWidth="1"/>
    <col min="12536" max="12536" width="9.6328125" style="10" bestFit="1" customWidth="1"/>
    <col min="12537" max="12537" width="12.6328125" style="10" bestFit="1" customWidth="1"/>
    <col min="12538" max="12539" width="17" style="10" bestFit="1" customWidth="1"/>
    <col min="12540" max="12540" width="12.6328125" style="10" bestFit="1" customWidth="1"/>
    <col min="12541" max="12541" width="17" style="10" bestFit="1" customWidth="1"/>
    <col min="12542" max="12542" width="17.08984375" style="10" bestFit="1" customWidth="1"/>
    <col min="12543" max="12543" width="12.81640625" style="10" bestFit="1" customWidth="1"/>
    <col min="12544" max="12547" width="9.6328125" style="10" bestFit="1" customWidth="1"/>
    <col min="12548" max="12548" width="11.54296875" style="10"/>
    <col min="12549" max="12549" width="13.6328125" style="10" bestFit="1" customWidth="1"/>
    <col min="12550" max="12550" width="4.36328125" style="10" bestFit="1" customWidth="1"/>
    <col min="12551" max="12552" width="11.453125" style="10" customWidth="1"/>
    <col min="12553" max="12557" width="9.6328125" style="10" bestFit="1" customWidth="1"/>
    <col min="12558" max="12558" width="8.6328125" style="10" bestFit="1" customWidth="1"/>
    <col min="12559" max="12779" width="11.54296875" style="10"/>
    <col min="12780" max="12780" width="30.6328125" style="10" bestFit="1" customWidth="1"/>
    <col min="12781" max="12786" width="9.90625" style="10" bestFit="1" customWidth="1"/>
    <col min="12787" max="12790" width="9.6328125" style="10" bestFit="1" customWidth="1"/>
    <col min="12791" max="12791" width="8.81640625" style="10" bestFit="1" customWidth="1"/>
    <col min="12792" max="12792" width="9.6328125" style="10" bestFit="1" customWidth="1"/>
    <col min="12793" max="12793" width="12.6328125" style="10" bestFit="1" customWidth="1"/>
    <col min="12794" max="12795" width="17" style="10" bestFit="1" customWidth="1"/>
    <col min="12796" max="12796" width="12.6328125" style="10" bestFit="1" customWidth="1"/>
    <col min="12797" max="12797" width="17" style="10" bestFit="1" customWidth="1"/>
    <col min="12798" max="12798" width="17.08984375" style="10" bestFit="1" customWidth="1"/>
    <col min="12799" max="12799" width="12.81640625" style="10" bestFit="1" customWidth="1"/>
    <col min="12800" max="12803" width="9.6328125" style="10" bestFit="1" customWidth="1"/>
    <col min="12804" max="12804" width="11.54296875" style="10"/>
    <col min="12805" max="12805" width="13.6328125" style="10" bestFit="1" customWidth="1"/>
    <col min="12806" max="12806" width="4.36328125" style="10" bestFit="1" customWidth="1"/>
    <col min="12807" max="12808" width="11.453125" style="10" customWidth="1"/>
    <col min="12809" max="12813" width="9.6328125" style="10" bestFit="1" customWidth="1"/>
    <col min="12814" max="12814" width="8.6328125" style="10" bestFit="1" customWidth="1"/>
    <col min="12815" max="13035" width="11.54296875" style="10"/>
    <col min="13036" max="13036" width="30.6328125" style="10" bestFit="1" customWidth="1"/>
    <col min="13037" max="13042" width="9.90625" style="10" bestFit="1" customWidth="1"/>
    <col min="13043" max="13046" width="9.6328125" style="10" bestFit="1" customWidth="1"/>
    <col min="13047" max="13047" width="8.81640625" style="10" bestFit="1" customWidth="1"/>
    <col min="13048" max="13048" width="9.6328125" style="10" bestFit="1" customWidth="1"/>
    <col min="13049" max="13049" width="12.6328125" style="10" bestFit="1" customWidth="1"/>
    <col min="13050" max="13051" width="17" style="10" bestFit="1" customWidth="1"/>
    <col min="13052" max="13052" width="12.6328125" style="10" bestFit="1" customWidth="1"/>
    <col min="13053" max="13053" width="17" style="10" bestFit="1" customWidth="1"/>
    <col min="13054" max="13054" width="17.08984375" style="10" bestFit="1" customWidth="1"/>
    <col min="13055" max="13055" width="12.81640625" style="10" bestFit="1" customWidth="1"/>
    <col min="13056" max="13059" width="9.6328125" style="10" bestFit="1" customWidth="1"/>
    <col min="13060" max="13060" width="11.54296875" style="10"/>
    <col min="13061" max="13061" width="13.6328125" style="10" bestFit="1" customWidth="1"/>
    <col min="13062" max="13062" width="4.36328125" style="10" bestFit="1" customWidth="1"/>
    <col min="13063" max="13064" width="11.453125" style="10" customWidth="1"/>
    <col min="13065" max="13069" width="9.6328125" style="10" bestFit="1" customWidth="1"/>
    <col min="13070" max="13070" width="8.6328125" style="10" bestFit="1" customWidth="1"/>
    <col min="13071" max="13291" width="11.54296875" style="10"/>
    <col min="13292" max="13292" width="30.6328125" style="10" bestFit="1" customWidth="1"/>
    <col min="13293" max="13298" width="9.90625" style="10" bestFit="1" customWidth="1"/>
    <col min="13299" max="13302" width="9.6328125" style="10" bestFit="1" customWidth="1"/>
    <col min="13303" max="13303" width="8.81640625" style="10" bestFit="1" customWidth="1"/>
    <col min="13304" max="13304" width="9.6328125" style="10" bestFit="1" customWidth="1"/>
    <col min="13305" max="13305" width="12.6328125" style="10" bestFit="1" customWidth="1"/>
    <col min="13306" max="13307" width="17" style="10" bestFit="1" customWidth="1"/>
    <col min="13308" max="13308" width="12.6328125" style="10" bestFit="1" customWidth="1"/>
    <col min="13309" max="13309" width="17" style="10" bestFit="1" customWidth="1"/>
    <col min="13310" max="13310" width="17.08984375" style="10" bestFit="1" customWidth="1"/>
    <col min="13311" max="13311" width="12.81640625" style="10" bestFit="1" customWidth="1"/>
    <col min="13312" max="13315" width="9.6328125" style="10" bestFit="1" customWidth="1"/>
    <col min="13316" max="13316" width="11.54296875" style="10"/>
    <col min="13317" max="13317" width="13.6328125" style="10" bestFit="1" customWidth="1"/>
    <col min="13318" max="13318" width="4.36328125" style="10" bestFit="1" customWidth="1"/>
    <col min="13319" max="13320" width="11.453125" style="10" customWidth="1"/>
    <col min="13321" max="13325" width="9.6328125" style="10" bestFit="1" customWidth="1"/>
    <col min="13326" max="13326" width="8.6328125" style="10" bestFit="1" customWidth="1"/>
    <col min="13327" max="13547" width="11.54296875" style="10"/>
    <col min="13548" max="13548" width="30.6328125" style="10" bestFit="1" customWidth="1"/>
    <col min="13549" max="13554" width="9.90625" style="10" bestFit="1" customWidth="1"/>
    <col min="13555" max="13558" width="9.6328125" style="10" bestFit="1" customWidth="1"/>
    <col min="13559" max="13559" width="8.81640625" style="10" bestFit="1" customWidth="1"/>
    <col min="13560" max="13560" width="9.6328125" style="10" bestFit="1" customWidth="1"/>
    <col min="13561" max="13561" width="12.6328125" style="10" bestFit="1" customWidth="1"/>
    <col min="13562" max="13563" width="17" style="10" bestFit="1" customWidth="1"/>
    <col min="13564" max="13564" width="12.6328125" style="10" bestFit="1" customWidth="1"/>
    <col min="13565" max="13565" width="17" style="10" bestFit="1" customWidth="1"/>
    <col min="13566" max="13566" width="17.08984375" style="10" bestFit="1" customWidth="1"/>
    <col min="13567" max="13567" width="12.81640625" style="10" bestFit="1" customWidth="1"/>
    <col min="13568" max="13571" width="9.6328125" style="10" bestFit="1" customWidth="1"/>
    <col min="13572" max="13572" width="11.54296875" style="10"/>
    <col min="13573" max="13573" width="13.6328125" style="10" bestFit="1" customWidth="1"/>
    <col min="13574" max="13574" width="4.36328125" style="10" bestFit="1" customWidth="1"/>
    <col min="13575" max="13576" width="11.453125" style="10" customWidth="1"/>
    <col min="13577" max="13581" width="9.6328125" style="10" bestFit="1" customWidth="1"/>
    <col min="13582" max="13582" width="8.6328125" style="10" bestFit="1" customWidth="1"/>
    <col min="13583" max="13803" width="11.54296875" style="10"/>
    <col min="13804" max="13804" width="30.6328125" style="10" bestFit="1" customWidth="1"/>
    <col min="13805" max="13810" width="9.90625" style="10" bestFit="1" customWidth="1"/>
    <col min="13811" max="13814" width="9.6328125" style="10" bestFit="1" customWidth="1"/>
    <col min="13815" max="13815" width="8.81640625" style="10" bestFit="1" customWidth="1"/>
    <col min="13816" max="13816" width="9.6328125" style="10" bestFit="1" customWidth="1"/>
    <col min="13817" max="13817" width="12.6328125" style="10" bestFit="1" customWidth="1"/>
    <col min="13818" max="13819" width="17" style="10" bestFit="1" customWidth="1"/>
    <col min="13820" max="13820" width="12.6328125" style="10" bestFit="1" customWidth="1"/>
    <col min="13821" max="13821" width="17" style="10" bestFit="1" customWidth="1"/>
    <col min="13822" max="13822" width="17.08984375" style="10" bestFit="1" customWidth="1"/>
    <col min="13823" max="13823" width="12.81640625" style="10" bestFit="1" customWidth="1"/>
    <col min="13824" max="13827" width="9.6328125" style="10" bestFit="1" customWidth="1"/>
    <col min="13828" max="13828" width="11.54296875" style="10"/>
    <col min="13829" max="13829" width="13.6328125" style="10" bestFit="1" customWidth="1"/>
    <col min="13830" max="13830" width="4.36328125" style="10" bestFit="1" customWidth="1"/>
    <col min="13831" max="13832" width="11.453125" style="10" customWidth="1"/>
    <col min="13833" max="13837" width="9.6328125" style="10" bestFit="1" customWidth="1"/>
    <col min="13838" max="13838" width="8.6328125" style="10" bestFit="1" customWidth="1"/>
    <col min="13839" max="14059" width="11.54296875" style="10"/>
    <col min="14060" max="14060" width="30.6328125" style="10" bestFit="1" customWidth="1"/>
    <col min="14061" max="14066" width="9.90625" style="10" bestFit="1" customWidth="1"/>
    <col min="14067" max="14070" width="9.6328125" style="10" bestFit="1" customWidth="1"/>
    <col min="14071" max="14071" width="8.81640625" style="10" bestFit="1" customWidth="1"/>
    <col min="14072" max="14072" width="9.6328125" style="10" bestFit="1" customWidth="1"/>
    <col min="14073" max="14073" width="12.6328125" style="10" bestFit="1" customWidth="1"/>
    <col min="14074" max="14075" width="17" style="10" bestFit="1" customWidth="1"/>
    <col min="14076" max="14076" width="12.6328125" style="10" bestFit="1" customWidth="1"/>
    <col min="14077" max="14077" width="17" style="10" bestFit="1" customWidth="1"/>
    <col min="14078" max="14078" width="17.08984375" style="10" bestFit="1" customWidth="1"/>
    <col min="14079" max="14079" width="12.81640625" style="10" bestFit="1" customWidth="1"/>
    <col min="14080" max="14083" width="9.6328125" style="10" bestFit="1" customWidth="1"/>
    <col min="14084" max="14084" width="11.54296875" style="10"/>
    <col min="14085" max="14085" width="13.6328125" style="10" bestFit="1" customWidth="1"/>
    <col min="14086" max="14086" width="4.36328125" style="10" bestFit="1" customWidth="1"/>
    <col min="14087" max="14088" width="11.453125" style="10" customWidth="1"/>
    <col min="14089" max="14093" width="9.6328125" style="10" bestFit="1" customWidth="1"/>
    <col min="14094" max="14094" width="8.6328125" style="10" bestFit="1" customWidth="1"/>
    <col min="14095" max="14315" width="11.54296875" style="10"/>
    <col min="14316" max="14316" width="30.6328125" style="10" bestFit="1" customWidth="1"/>
    <col min="14317" max="14322" width="9.90625" style="10" bestFit="1" customWidth="1"/>
    <col min="14323" max="14326" width="9.6328125" style="10" bestFit="1" customWidth="1"/>
    <col min="14327" max="14327" width="8.81640625" style="10" bestFit="1" customWidth="1"/>
    <col min="14328" max="14328" width="9.6328125" style="10" bestFit="1" customWidth="1"/>
    <col min="14329" max="14329" width="12.6328125" style="10" bestFit="1" customWidth="1"/>
    <col min="14330" max="14331" width="17" style="10" bestFit="1" customWidth="1"/>
    <col min="14332" max="14332" width="12.6328125" style="10" bestFit="1" customWidth="1"/>
    <col min="14333" max="14333" width="17" style="10" bestFit="1" customWidth="1"/>
    <col min="14334" max="14334" width="17.08984375" style="10" bestFit="1" customWidth="1"/>
    <col min="14335" max="14335" width="12.81640625" style="10" bestFit="1" customWidth="1"/>
    <col min="14336" max="14339" width="9.6328125" style="10" bestFit="1" customWidth="1"/>
    <col min="14340" max="14340" width="11.54296875" style="10"/>
    <col min="14341" max="14341" width="13.6328125" style="10" bestFit="1" customWidth="1"/>
    <col min="14342" max="14342" width="4.36328125" style="10" bestFit="1" customWidth="1"/>
    <col min="14343" max="14344" width="11.453125" style="10" customWidth="1"/>
    <col min="14345" max="14349" width="9.6328125" style="10" bestFit="1" customWidth="1"/>
    <col min="14350" max="14350" width="8.6328125" style="10" bestFit="1" customWidth="1"/>
    <col min="14351" max="14571" width="11.54296875" style="10"/>
    <col min="14572" max="14572" width="30.6328125" style="10" bestFit="1" customWidth="1"/>
    <col min="14573" max="14578" width="9.90625" style="10" bestFit="1" customWidth="1"/>
    <col min="14579" max="14582" width="9.6328125" style="10" bestFit="1" customWidth="1"/>
    <col min="14583" max="14583" width="8.81640625" style="10" bestFit="1" customWidth="1"/>
    <col min="14584" max="14584" width="9.6328125" style="10" bestFit="1" customWidth="1"/>
    <col min="14585" max="14585" width="12.6328125" style="10" bestFit="1" customWidth="1"/>
    <col min="14586" max="14587" width="17" style="10" bestFit="1" customWidth="1"/>
    <col min="14588" max="14588" width="12.6328125" style="10" bestFit="1" customWidth="1"/>
    <col min="14589" max="14589" width="17" style="10" bestFit="1" customWidth="1"/>
    <col min="14590" max="14590" width="17.08984375" style="10" bestFit="1" customWidth="1"/>
    <col min="14591" max="14591" width="12.81640625" style="10" bestFit="1" customWidth="1"/>
    <col min="14592" max="14595" width="9.6328125" style="10" bestFit="1" customWidth="1"/>
    <col min="14596" max="14596" width="11.54296875" style="10"/>
    <col min="14597" max="14597" width="13.6328125" style="10" bestFit="1" customWidth="1"/>
    <col min="14598" max="14598" width="4.36328125" style="10" bestFit="1" customWidth="1"/>
    <col min="14599" max="14600" width="11.453125" style="10" customWidth="1"/>
    <col min="14601" max="14605" width="9.6328125" style="10" bestFit="1" customWidth="1"/>
    <col min="14606" max="14606" width="8.6328125" style="10" bestFit="1" customWidth="1"/>
    <col min="14607" max="14827" width="11.54296875" style="10"/>
    <col min="14828" max="14828" width="30.6328125" style="10" bestFit="1" customWidth="1"/>
    <col min="14829" max="14834" width="9.90625" style="10" bestFit="1" customWidth="1"/>
    <col min="14835" max="14838" width="9.6328125" style="10" bestFit="1" customWidth="1"/>
    <col min="14839" max="14839" width="8.81640625" style="10" bestFit="1" customWidth="1"/>
    <col min="14840" max="14840" width="9.6328125" style="10" bestFit="1" customWidth="1"/>
    <col min="14841" max="14841" width="12.6328125" style="10" bestFit="1" customWidth="1"/>
    <col min="14842" max="14843" width="17" style="10" bestFit="1" customWidth="1"/>
    <col min="14844" max="14844" width="12.6328125" style="10" bestFit="1" customWidth="1"/>
    <col min="14845" max="14845" width="17" style="10" bestFit="1" customWidth="1"/>
    <col min="14846" max="14846" width="17.08984375" style="10" bestFit="1" customWidth="1"/>
    <col min="14847" max="14847" width="12.81640625" style="10" bestFit="1" customWidth="1"/>
    <col min="14848" max="14851" width="9.6328125" style="10" bestFit="1" customWidth="1"/>
    <col min="14852" max="14852" width="11.54296875" style="10"/>
    <col min="14853" max="14853" width="13.6328125" style="10" bestFit="1" customWidth="1"/>
    <col min="14854" max="14854" width="4.36328125" style="10" bestFit="1" customWidth="1"/>
    <col min="14855" max="14856" width="11.453125" style="10" customWidth="1"/>
    <col min="14857" max="14861" width="9.6328125" style="10" bestFit="1" customWidth="1"/>
    <col min="14862" max="14862" width="8.6328125" style="10" bestFit="1" customWidth="1"/>
    <col min="14863" max="15083" width="11.54296875" style="10"/>
    <col min="15084" max="15084" width="30.6328125" style="10" bestFit="1" customWidth="1"/>
    <col min="15085" max="15090" width="9.90625" style="10" bestFit="1" customWidth="1"/>
    <col min="15091" max="15094" width="9.6328125" style="10" bestFit="1" customWidth="1"/>
    <col min="15095" max="15095" width="8.81640625" style="10" bestFit="1" customWidth="1"/>
    <col min="15096" max="15096" width="9.6328125" style="10" bestFit="1" customWidth="1"/>
    <col min="15097" max="15097" width="12.6328125" style="10" bestFit="1" customWidth="1"/>
    <col min="15098" max="15099" width="17" style="10" bestFit="1" customWidth="1"/>
    <col min="15100" max="15100" width="12.6328125" style="10" bestFit="1" customWidth="1"/>
    <col min="15101" max="15101" width="17" style="10" bestFit="1" customWidth="1"/>
    <col min="15102" max="15102" width="17.08984375" style="10" bestFit="1" customWidth="1"/>
    <col min="15103" max="15103" width="12.81640625" style="10" bestFit="1" customWidth="1"/>
    <col min="15104" max="15107" width="9.6328125" style="10" bestFit="1" customWidth="1"/>
    <col min="15108" max="15108" width="11.54296875" style="10"/>
    <col min="15109" max="15109" width="13.6328125" style="10" bestFit="1" customWidth="1"/>
    <col min="15110" max="15110" width="4.36328125" style="10" bestFit="1" customWidth="1"/>
    <col min="15111" max="15112" width="11.453125" style="10" customWidth="1"/>
    <col min="15113" max="15117" width="9.6328125" style="10" bestFit="1" customWidth="1"/>
    <col min="15118" max="15118" width="8.6328125" style="10" bestFit="1" customWidth="1"/>
    <col min="15119" max="15339" width="11.54296875" style="10"/>
    <col min="15340" max="15340" width="30.6328125" style="10" bestFit="1" customWidth="1"/>
    <col min="15341" max="15346" width="9.90625" style="10" bestFit="1" customWidth="1"/>
    <col min="15347" max="15350" width="9.6328125" style="10" bestFit="1" customWidth="1"/>
    <col min="15351" max="15351" width="8.81640625" style="10" bestFit="1" customWidth="1"/>
    <col min="15352" max="15352" width="9.6328125" style="10" bestFit="1" customWidth="1"/>
    <col min="15353" max="15353" width="12.6328125" style="10" bestFit="1" customWidth="1"/>
    <col min="15354" max="15355" width="17" style="10" bestFit="1" customWidth="1"/>
    <col min="15356" max="15356" width="12.6328125" style="10" bestFit="1" customWidth="1"/>
    <col min="15357" max="15357" width="17" style="10" bestFit="1" customWidth="1"/>
    <col min="15358" max="15358" width="17.08984375" style="10" bestFit="1" customWidth="1"/>
    <col min="15359" max="15359" width="12.81640625" style="10" bestFit="1" customWidth="1"/>
    <col min="15360" max="15363" width="9.6328125" style="10" bestFit="1" customWidth="1"/>
    <col min="15364" max="15364" width="11.54296875" style="10"/>
    <col min="15365" max="15365" width="13.6328125" style="10" bestFit="1" customWidth="1"/>
    <col min="15366" max="15366" width="4.36328125" style="10" bestFit="1" customWidth="1"/>
    <col min="15367" max="15368" width="11.453125" style="10" customWidth="1"/>
    <col min="15369" max="15373" width="9.6328125" style="10" bestFit="1" customWidth="1"/>
    <col min="15374" max="15374" width="8.6328125" style="10" bestFit="1" customWidth="1"/>
    <col min="15375" max="15595" width="11.54296875" style="10"/>
    <col min="15596" max="15596" width="30.6328125" style="10" bestFit="1" customWidth="1"/>
    <col min="15597" max="15602" width="9.90625" style="10" bestFit="1" customWidth="1"/>
    <col min="15603" max="15606" width="9.6328125" style="10" bestFit="1" customWidth="1"/>
    <col min="15607" max="15607" width="8.81640625" style="10" bestFit="1" customWidth="1"/>
    <col min="15608" max="15608" width="9.6328125" style="10" bestFit="1" customWidth="1"/>
    <col min="15609" max="15609" width="12.6328125" style="10" bestFit="1" customWidth="1"/>
    <col min="15610" max="15611" width="17" style="10" bestFit="1" customWidth="1"/>
    <col min="15612" max="15612" width="12.6328125" style="10" bestFit="1" customWidth="1"/>
    <col min="15613" max="15613" width="17" style="10" bestFit="1" customWidth="1"/>
    <col min="15614" max="15614" width="17.08984375" style="10" bestFit="1" customWidth="1"/>
    <col min="15615" max="15615" width="12.81640625" style="10" bestFit="1" customWidth="1"/>
    <col min="15616" max="15619" width="9.6328125" style="10" bestFit="1" customWidth="1"/>
    <col min="15620" max="15620" width="11.54296875" style="10"/>
    <col min="15621" max="15621" width="13.6328125" style="10" bestFit="1" customWidth="1"/>
    <col min="15622" max="15622" width="4.36328125" style="10" bestFit="1" customWidth="1"/>
    <col min="15623" max="15624" width="11.453125" style="10" customWidth="1"/>
    <col min="15625" max="15629" width="9.6328125" style="10" bestFit="1" customWidth="1"/>
    <col min="15630" max="15630" width="8.6328125" style="10" bestFit="1" customWidth="1"/>
    <col min="15631" max="15851" width="11.54296875" style="10"/>
    <col min="15852" max="15852" width="30.6328125" style="10" bestFit="1" customWidth="1"/>
    <col min="15853" max="15858" width="9.90625" style="10" bestFit="1" customWidth="1"/>
    <col min="15859" max="15862" width="9.6328125" style="10" bestFit="1" customWidth="1"/>
    <col min="15863" max="15863" width="8.81640625" style="10" bestFit="1" customWidth="1"/>
    <col min="15864" max="15864" width="9.6328125" style="10" bestFit="1" customWidth="1"/>
    <col min="15865" max="15865" width="12.6328125" style="10" bestFit="1" customWidth="1"/>
    <col min="15866" max="15867" width="17" style="10" bestFit="1" customWidth="1"/>
    <col min="15868" max="15868" width="12.6328125" style="10" bestFit="1" customWidth="1"/>
    <col min="15869" max="15869" width="17" style="10" bestFit="1" customWidth="1"/>
    <col min="15870" max="15870" width="17.08984375" style="10" bestFit="1" customWidth="1"/>
    <col min="15871" max="15871" width="12.81640625" style="10" bestFit="1" customWidth="1"/>
    <col min="15872" max="15875" width="9.6328125" style="10" bestFit="1" customWidth="1"/>
    <col min="15876" max="15876" width="11.54296875" style="10"/>
    <col min="15877" max="15877" width="13.6328125" style="10" bestFit="1" customWidth="1"/>
    <col min="15878" max="15878" width="4.36328125" style="10" bestFit="1" customWidth="1"/>
    <col min="15879" max="15880" width="11.453125" style="10" customWidth="1"/>
    <col min="15881" max="15885" width="9.6328125" style="10" bestFit="1" customWidth="1"/>
    <col min="15886" max="15886" width="8.6328125" style="10" bestFit="1" customWidth="1"/>
    <col min="15887" max="16107" width="11.54296875" style="10"/>
    <col min="16108" max="16108" width="30.6328125" style="10" bestFit="1" customWidth="1"/>
    <col min="16109" max="16114" width="9.90625" style="10" bestFit="1" customWidth="1"/>
    <col min="16115" max="16118" width="9.6328125" style="10" bestFit="1" customWidth="1"/>
    <col min="16119" max="16119" width="8.81640625" style="10" bestFit="1" customWidth="1"/>
    <col min="16120" max="16120" width="9.6328125" style="10" bestFit="1" customWidth="1"/>
    <col min="16121" max="16121" width="12.6328125" style="10" bestFit="1" customWidth="1"/>
    <col min="16122" max="16123" width="17" style="10" bestFit="1" customWidth="1"/>
    <col min="16124" max="16124" width="12.6328125" style="10" bestFit="1" customWidth="1"/>
    <col min="16125" max="16125" width="17" style="10" bestFit="1" customWidth="1"/>
    <col min="16126" max="16126" width="17.08984375" style="10" bestFit="1" customWidth="1"/>
    <col min="16127" max="16127" width="12.81640625" style="10" bestFit="1" customWidth="1"/>
    <col min="16128" max="16131" width="9.6328125" style="10" bestFit="1" customWidth="1"/>
    <col min="16132" max="16132" width="11.54296875" style="10"/>
    <col min="16133" max="16133" width="13.6328125" style="10" bestFit="1" customWidth="1"/>
    <col min="16134" max="16134" width="4.36328125" style="10" bestFit="1" customWidth="1"/>
    <col min="16135" max="16136" width="11.453125" style="10" customWidth="1"/>
    <col min="16137" max="16141" width="9.6328125" style="10" bestFit="1" customWidth="1"/>
    <col min="16142" max="16142" width="8.6328125" style="10" bestFit="1" customWidth="1"/>
    <col min="16143" max="16384" width="11.54296875" style="10"/>
  </cols>
  <sheetData>
    <row r="1" spans="1:13" ht="14.4" customHeight="1" x14ac:dyDescent="0.25">
      <c r="A1" s="137" t="s">
        <v>20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14.4" customHeight="1" x14ac:dyDescent="0.25">
      <c r="A2" s="138" t="s">
        <v>49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14.4" customHeight="1" x14ac:dyDescent="0.25">
      <c r="A3" s="138" t="s">
        <v>21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 ht="15.15" customHeight="1" x14ac:dyDescent="0.25">
      <c r="A5" s="12" t="s">
        <v>22</v>
      </c>
      <c r="B5" s="135" t="s">
        <v>23</v>
      </c>
      <c r="C5" s="136"/>
      <c r="D5" s="135" t="s">
        <v>24</v>
      </c>
      <c r="E5" s="136"/>
      <c r="F5" s="135" t="s">
        <v>25</v>
      </c>
      <c r="G5" s="136"/>
      <c r="H5" s="135" t="s">
        <v>26</v>
      </c>
      <c r="I5" s="136"/>
      <c r="J5" s="135" t="s">
        <v>27</v>
      </c>
      <c r="K5" s="136"/>
      <c r="L5" s="133">
        <v>2025</v>
      </c>
      <c r="M5" s="134"/>
    </row>
    <row r="6" spans="1:13" ht="15.15" customHeight="1" x14ac:dyDescent="0.25">
      <c r="A6" s="12" t="s">
        <v>28</v>
      </c>
      <c r="B6" s="14" t="s">
        <v>29</v>
      </c>
      <c r="C6" s="13" t="s">
        <v>30</v>
      </c>
      <c r="D6" s="14" t="s">
        <v>29</v>
      </c>
      <c r="E6" s="13" t="s">
        <v>30</v>
      </c>
      <c r="F6" s="14" t="s">
        <v>29</v>
      </c>
      <c r="G6" s="13" t="s">
        <v>30</v>
      </c>
      <c r="H6" s="14" t="s">
        <v>29</v>
      </c>
      <c r="I6" s="13" t="s">
        <v>30</v>
      </c>
      <c r="J6" s="14" t="s">
        <v>29</v>
      </c>
      <c r="K6" s="13" t="s">
        <v>30</v>
      </c>
      <c r="L6" s="14" t="s">
        <v>29</v>
      </c>
      <c r="M6" s="13" t="s">
        <v>30</v>
      </c>
    </row>
    <row r="7" spans="1:13" ht="15.15" customHeight="1" x14ac:dyDescent="0.25">
      <c r="A7" s="15" t="s">
        <v>31</v>
      </c>
      <c r="B7" s="34">
        <v>2059.9864600000001</v>
      </c>
      <c r="C7" s="30">
        <v>232.02707000000004</v>
      </c>
      <c r="D7" s="34">
        <v>12856.051720000001</v>
      </c>
      <c r="E7" s="34">
        <v>2394.5577500000004</v>
      </c>
      <c r="F7" s="34">
        <v>2750.7808709999999</v>
      </c>
      <c r="G7" s="34">
        <v>5427.3194799999974</v>
      </c>
      <c r="H7" s="34">
        <v>1429.3278609999998</v>
      </c>
      <c r="I7" s="34">
        <v>3206.3525400000008</v>
      </c>
      <c r="J7" s="34">
        <v>4094.8051899999991</v>
      </c>
      <c r="K7" s="16">
        <v>1932.5179100000005</v>
      </c>
      <c r="L7" s="34">
        <v>9954.6095810000024</v>
      </c>
      <c r="M7" s="34">
        <v>4242.9648399999996</v>
      </c>
    </row>
    <row r="8" spans="1:13" ht="15.15" customHeight="1" x14ac:dyDescent="0.25">
      <c r="A8" s="15" t="s">
        <v>32</v>
      </c>
      <c r="B8" s="34">
        <v>2400.5441599999995</v>
      </c>
      <c r="C8" s="30">
        <v>1777.4851099999996</v>
      </c>
      <c r="D8" s="34">
        <v>2100.6643299999996</v>
      </c>
      <c r="E8" s="34">
        <v>1526.2726</v>
      </c>
      <c r="F8" s="34">
        <v>1292.3187069999999</v>
      </c>
      <c r="G8" s="34">
        <v>54783.522799999999</v>
      </c>
      <c r="H8" s="34">
        <v>2295.9235960000001</v>
      </c>
      <c r="I8" s="34">
        <v>25607.824100000002</v>
      </c>
      <c r="J8" s="34">
        <v>3763.7522710000017</v>
      </c>
      <c r="K8" s="16">
        <v>28399.566999999999</v>
      </c>
      <c r="L8" s="34">
        <v>11551.854320000002</v>
      </c>
      <c r="M8" s="34">
        <v>39548.437600000005</v>
      </c>
    </row>
    <row r="9" spans="1:13" ht="15.15" customHeight="1" x14ac:dyDescent="0.25">
      <c r="A9" s="15" t="s">
        <v>33</v>
      </c>
      <c r="B9" s="34">
        <v>1.46689</v>
      </c>
      <c r="C9" s="30">
        <v>1.4226300000000001</v>
      </c>
      <c r="D9" s="34">
        <v>43.07752</v>
      </c>
      <c r="E9" s="34">
        <v>31.281910000000003</v>
      </c>
      <c r="F9" s="34">
        <v>62.621740000000003</v>
      </c>
      <c r="G9" s="34">
        <v>489.13863999999995</v>
      </c>
      <c r="H9" s="34">
        <v>70.818646000000001</v>
      </c>
      <c r="I9" s="34">
        <v>372.61534</v>
      </c>
      <c r="J9" s="34">
        <v>118.225015</v>
      </c>
      <c r="K9" s="16">
        <v>357.61182000000002</v>
      </c>
      <c r="L9" s="34">
        <v>110.65685999999999</v>
      </c>
      <c r="M9" s="34">
        <v>176.30060000000003</v>
      </c>
    </row>
    <row r="10" spans="1:13" ht="15.15" customHeight="1" x14ac:dyDescent="0.25">
      <c r="A10" s="15" t="s">
        <v>34</v>
      </c>
      <c r="B10" s="34"/>
      <c r="C10" s="30"/>
      <c r="D10" s="34"/>
      <c r="E10" s="34"/>
      <c r="F10" s="34">
        <v>0.54672500000000002</v>
      </c>
      <c r="G10" s="34">
        <v>32.831710000000001</v>
      </c>
      <c r="H10" s="34">
        <v>66.742960999999994</v>
      </c>
      <c r="I10" s="34">
        <v>218.37339</v>
      </c>
      <c r="J10" s="34">
        <v>3.1545809999999999</v>
      </c>
      <c r="K10" s="16">
        <v>173.56723</v>
      </c>
      <c r="L10" s="34">
        <v>0.8499000000000001</v>
      </c>
      <c r="M10" s="34">
        <v>40.987279999999998</v>
      </c>
    </row>
    <row r="11" spans="1:13" ht="15.15" customHeight="1" x14ac:dyDescent="0.25">
      <c r="A11" s="15" t="s">
        <v>35</v>
      </c>
      <c r="B11" s="34">
        <v>16.538</v>
      </c>
      <c r="C11" s="30">
        <v>11.441000000000001</v>
      </c>
      <c r="D11" s="34">
        <v>9.1930399999999999</v>
      </c>
      <c r="E11" s="34">
        <v>5.2735000000000003</v>
      </c>
      <c r="F11" s="34">
        <v>37.004432000000001</v>
      </c>
      <c r="G11" s="34">
        <v>146.87164999999999</v>
      </c>
      <c r="H11" s="34">
        <v>7.9478470000000003</v>
      </c>
      <c r="I11" s="34">
        <v>20.074010000000001</v>
      </c>
      <c r="J11" s="34">
        <v>2.3282179999999997</v>
      </c>
      <c r="K11" s="16">
        <v>14.93534</v>
      </c>
      <c r="L11" s="34">
        <v>6.0307760000000004</v>
      </c>
      <c r="M11" s="34">
        <v>38.680779999999999</v>
      </c>
    </row>
    <row r="12" spans="1:13" ht="15.15" customHeight="1" x14ac:dyDescent="0.25">
      <c r="A12" s="15" t="s">
        <v>36</v>
      </c>
      <c r="B12" s="34">
        <v>69</v>
      </c>
      <c r="C12" s="30">
        <v>67.5</v>
      </c>
      <c r="D12" s="34"/>
      <c r="E12" s="34"/>
      <c r="F12" s="34">
        <v>5.0000000000000001E-4</v>
      </c>
      <c r="G12" s="34">
        <v>4.5144799999999998</v>
      </c>
      <c r="H12" s="34">
        <v>1.119105</v>
      </c>
      <c r="I12" s="34">
        <v>18.417999999999999</v>
      </c>
      <c r="J12" s="34"/>
      <c r="K12" s="16"/>
      <c r="L12" s="34"/>
      <c r="M12" s="34"/>
    </row>
    <row r="13" spans="1:13" ht="15.15" customHeight="1" x14ac:dyDescent="0.25">
      <c r="A13" s="15" t="s">
        <v>37</v>
      </c>
      <c r="B13" s="34"/>
      <c r="C13" s="30"/>
      <c r="D13" s="34"/>
      <c r="E13" s="34"/>
      <c r="F13" s="35">
        <v>0.29599999999999999</v>
      </c>
      <c r="G13" s="34">
        <v>5.0125000000000002</v>
      </c>
      <c r="H13" s="34">
        <v>22.117059000000005</v>
      </c>
      <c r="I13" s="34">
        <v>432.93816000000004</v>
      </c>
      <c r="J13" s="35">
        <v>1.4999999999999999E-2</v>
      </c>
      <c r="K13" s="16">
        <v>0.9</v>
      </c>
      <c r="L13" s="35">
        <v>0.27100000000000002</v>
      </c>
      <c r="M13" s="34">
        <v>24.990000000000002</v>
      </c>
    </row>
    <row r="14" spans="1:13" ht="15.15" customHeight="1" x14ac:dyDescent="0.25">
      <c r="A14" s="15" t="s">
        <v>38</v>
      </c>
      <c r="B14" s="34"/>
      <c r="C14" s="30"/>
      <c r="D14" s="34">
        <v>27.207999999999998</v>
      </c>
      <c r="E14" s="34">
        <v>20</v>
      </c>
      <c r="F14" s="34">
        <v>2.0881270000000001</v>
      </c>
      <c r="G14" s="34">
        <v>128.13071000000002</v>
      </c>
      <c r="H14" s="34">
        <v>57.360361999999995</v>
      </c>
      <c r="I14" s="34">
        <v>3035.8557500000002</v>
      </c>
      <c r="J14" s="34">
        <v>153.67728400000001</v>
      </c>
      <c r="K14" s="16">
        <v>514.82757300000003</v>
      </c>
      <c r="L14" s="34">
        <v>329.05406899999997</v>
      </c>
      <c r="M14" s="34">
        <v>387.33837000000005</v>
      </c>
    </row>
    <row r="15" spans="1:13" x14ac:dyDescent="0.25">
      <c r="A15" s="15" t="s">
        <v>39</v>
      </c>
      <c r="B15" s="34">
        <v>38.670499999999997</v>
      </c>
      <c r="C15" s="30">
        <v>10.4305</v>
      </c>
      <c r="D15" s="34">
        <v>189.54590999999999</v>
      </c>
      <c r="E15" s="34">
        <v>150.80099999999999</v>
      </c>
      <c r="F15" s="34">
        <v>164.929621</v>
      </c>
      <c r="G15" s="34">
        <v>617.97820000000002</v>
      </c>
      <c r="H15" s="34">
        <v>1335.07449</v>
      </c>
      <c r="I15" s="34">
        <v>1109.7158899999999</v>
      </c>
      <c r="J15" s="34">
        <v>1963.8634900000002</v>
      </c>
      <c r="K15" s="16">
        <v>1365.13687</v>
      </c>
      <c r="L15" s="34">
        <v>1593.2763399999999</v>
      </c>
      <c r="M15" s="34">
        <v>1280.57132</v>
      </c>
    </row>
    <row r="16" spans="1:13" x14ac:dyDescent="0.25">
      <c r="A16" s="15" t="s">
        <v>40</v>
      </c>
      <c r="B16" s="16">
        <f>SUM(B7:B15)</f>
        <v>4586.206009999999</v>
      </c>
      <c r="C16" s="16">
        <f>SUM(C7:C15)</f>
        <v>2100.3063099999995</v>
      </c>
      <c r="D16" s="16">
        <f t="shared" ref="D16:M16" si="0">SUM(D7:D15)</f>
        <v>15225.740520000003</v>
      </c>
      <c r="E16" s="16">
        <f t="shared" si="0"/>
        <v>4128.1867600000005</v>
      </c>
      <c r="F16" s="16">
        <f t="shared" si="0"/>
        <v>4310.5867230000003</v>
      </c>
      <c r="G16" s="16">
        <f t="shared" si="0"/>
        <v>61635.320169999985</v>
      </c>
      <c r="H16" s="16">
        <f t="shared" si="0"/>
        <v>5286.4319269999996</v>
      </c>
      <c r="I16" s="16">
        <f t="shared" si="0"/>
        <v>34022.167180000004</v>
      </c>
      <c r="J16" s="16">
        <f t="shared" si="0"/>
        <v>10099.821049</v>
      </c>
      <c r="K16" s="16">
        <f t="shared" si="0"/>
        <v>32759.063742999995</v>
      </c>
      <c r="L16" s="16">
        <f t="shared" si="0"/>
        <v>23546.602846000005</v>
      </c>
      <c r="M16" s="16">
        <f t="shared" si="0"/>
        <v>45740.27079000001</v>
      </c>
    </row>
    <row r="17" spans="1:14" x14ac:dyDescent="0.25">
      <c r="A17" s="15" t="s">
        <v>41</v>
      </c>
      <c r="B17" s="17"/>
      <c r="C17" s="17">
        <f>(C16*1000)/B16</f>
        <v>457.96161476836932</v>
      </c>
      <c r="D17" s="17"/>
      <c r="E17" s="17">
        <f>(E16*1000)/D16</f>
        <v>271.13208415560206</v>
      </c>
      <c r="F17" s="17"/>
      <c r="G17" s="17">
        <f>(G16*1000)/F16</f>
        <v>14298.591846240413</v>
      </c>
      <c r="H17" s="17"/>
      <c r="I17" s="17">
        <f>(I16*1000)/H16</f>
        <v>6435.7524413082283</v>
      </c>
      <c r="J17" s="17"/>
      <c r="K17" s="17">
        <f>(K16*1000)/J16</f>
        <v>3243.5291263149188</v>
      </c>
      <c r="L17" s="17"/>
      <c r="M17" s="17">
        <f>(M16*1000)/L16</f>
        <v>1942.5422465037313</v>
      </c>
    </row>
    <row r="19" spans="1:14" x14ac:dyDescent="0.25">
      <c r="A19" s="10" t="s">
        <v>42</v>
      </c>
    </row>
    <row r="20" spans="1:14" x14ac:dyDescent="0.25">
      <c r="A20" s="10" t="s">
        <v>43</v>
      </c>
    </row>
    <row r="21" spans="1:14" ht="11.5" customHeight="1" x14ac:dyDescent="0.25"/>
    <row r="22" spans="1:14" ht="11.5" customHeight="1" x14ac:dyDescent="0.25"/>
    <row r="23" spans="1:14" ht="11.5" customHeight="1" x14ac:dyDescent="0.25">
      <c r="A23" s="18" t="s">
        <v>22</v>
      </c>
      <c r="B23" s="19">
        <v>2020</v>
      </c>
      <c r="C23" s="19">
        <v>2021</v>
      </c>
      <c r="D23" s="19">
        <v>2022</v>
      </c>
      <c r="E23" s="19">
        <v>2023</v>
      </c>
      <c r="F23" s="19">
        <v>2024</v>
      </c>
      <c r="G23" s="19">
        <v>2025</v>
      </c>
      <c r="H23" s="19" t="s">
        <v>44</v>
      </c>
    </row>
    <row r="24" spans="1:14" ht="11.5" customHeight="1" x14ac:dyDescent="0.25">
      <c r="A24" s="20" t="s">
        <v>45</v>
      </c>
      <c r="B24" s="21">
        <f>C16</f>
        <v>2100.3063099999995</v>
      </c>
      <c r="C24" s="21">
        <f>E16</f>
        <v>4128.1867600000005</v>
      </c>
      <c r="D24" s="21">
        <f>G16</f>
        <v>61635.320169999985</v>
      </c>
      <c r="E24" s="21">
        <f>I16</f>
        <v>34022.167180000004</v>
      </c>
      <c r="F24" s="21">
        <f>K16</f>
        <v>32759.063742999995</v>
      </c>
      <c r="G24" s="21">
        <f>M16</f>
        <v>45740.27079000001</v>
      </c>
      <c r="H24" s="22">
        <f>SUM(B24:G24)</f>
        <v>180385.31495299999</v>
      </c>
    </row>
    <row r="25" spans="1:14" x14ac:dyDescent="0.25">
      <c r="A25" s="10" t="s">
        <v>46</v>
      </c>
      <c r="B25" s="23">
        <f>B16</f>
        <v>4586.206009999999</v>
      </c>
      <c r="C25" s="23">
        <f>D16</f>
        <v>15225.740520000003</v>
      </c>
      <c r="D25" s="23">
        <f>F16</f>
        <v>4310.5867230000003</v>
      </c>
      <c r="E25" s="23">
        <f>H16</f>
        <v>5286.4319269999996</v>
      </c>
      <c r="F25" s="23">
        <f>J16</f>
        <v>10099.821049</v>
      </c>
      <c r="G25" s="23">
        <f>L16</f>
        <v>23546.602846000005</v>
      </c>
      <c r="H25" s="22">
        <f>SUM(B25:G25)</f>
        <v>63055.389074999999</v>
      </c>
    </row>
    <row r="26" spans="1:14" x14ac:dyDescent="0.25">
      <c r="A26" s="24" t="s">
        <v>41</v>
      </c>
      <c r="B26" s="25">
        <f>(B24*1000)/B25</f>
        <v>457.96161476836932</v>
      </c>
      <c r="C26" s="25">
        <f t="shared" ref="C26:F26" si="1">(C24*1000)/C25</f>
        <v>271.13208415560206</v>
      </c>
      <c r="D26" s="25">
        <f t="shared" si="1"/>
        <v>14298.591846240413</v>
      </c>
      <c r="E26" s="25">
        <f t="shared" si="1"/>
        <v>6435.7524413082283</v>
      </c>
      <c r="F26" s="25">
        <f t="shared" si="1"/>
        <v>3243.5291263149188</v>
      </c>
      <c r="G26" s="25">
        <f>(G24*1000)/G25</f>
        <v>1942.5422465037313</v>
      </c>
      <c r="H26" s="25">
        <f>(H24*1000)/H25</f>
        <v>2860.7438253761975</v>
      </c>
      <c r="I26" s="22"/>
    </row>
    <row r="27" spans="1:14" ht="12" customHeight="1" thickBot="1" x14ac:dyDescent="0.3">
      <c r="A27" s="26" t="s">
        <v>47</v>
      </c>
      <c r="B27" s="26">
        <f>B26/1000</f>
        <v>0.45796161476836933</v>
      </c>
      <c r="C27" s="26">
        <f t="shared" ref="C27:G27" si="2">C26/1000</f>
        <v>0.27113208415560208</v>
      </c>
      <c r="D27" s="26">
        <f t="shared" si="2"/>
        <v>14.298591846240413</v>
      </c>
      <c r="E27" s="26">
        <f t="shared" si="2"/>
        <v>6.4357524413082281</v>
      </c>
      <c r="F27" s="26">
        <f t="shared" si="2"/>
        <v>3.2435291263149186</v>
      </c>
      <c r="G27" s="26">
        <f t="shared" si="2"/>
        <v>1.9425422465037314</v>
      </c>
      <c r="H27" s="27">
        <f>H26/1000</f>
        <v>2.8607438253761974</v>
      </c>
    </row>
    <row r="28" spans="1:14" ht="12.5" thickTop="1" thickBot="1" x14ac:dyDescent="0.3">
      <c r="A28" s="28" t="s">
        <v>48</v>
      </c>
      <c r="B28" s="28"/>
      <c r="C28" s="28"/>
      <c r="D28" s="28"/>
      <c r="E28" s="28"/>
      <c r="F28" s="28"/>
      <c r="G28" s="28"/>
      <c r="H28" s="28">
        <f>STDEV(B27:G27)</f>
        <v>5.3306617433432582</v>
      </c>
    </row>
    <row r="29" spans="1:14" ht="12" customHeight="1" thickTop="1" x14ac:dyDescent="0.25"/>
    <row r="30" spans="1:14" ht="11.5" customHeight="1" x14ac:dyDescent="0.25"/>
    <row r="31" spans="1:14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4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</row>
    <row r="34" spans="1:14" x14ac:dyDescent="0.25">
      <c r="A34" s="29"/>
      <c r="B34" s="29"/>
      <c r="C34" s="29"/>
      <c r="D34" s="29"/>
      <c r="E34" s="29"/>
      <c r="F34" s="29"/>
      <c r="G34" s="29"/>
      <c r="H34" s="29"/>
    </row>
    <row r="35" spans="1:14" x14ac:dyDescent="0.25">
      <c r="A35" s="29"/>
      <c r="B35" s="29"/>
      <c r="C35" s="29"/>
      <c r="D35" s="29"/>
      <c r="E35" s="29"/>
      <c r="F35" s="29"/>
      <c r="G35" s="29"/>
      <c r="H35" s="29"/>
    </row>
    <row r="36" spans="1:14" x14ac:dyDescent="0.25">
      <c r="A36" s="29"/>
      <c r="B36" s="29"/>
      <c r="C36" s="29"/>
      <c r="D36" s="29"/>
      <c r="E36" s="29"/>
      <c r="F36" s="29"/>
      <c r="G36" s="29"/>
      <c r="H36" s="29"/>
    </row>
    <row r="37" spans="1:14" x14ac:dyDescent="0.25">
      <c r="A37" s="29"/>
      <c r="B37" s="29"/>
      <c r="C37" s="29"/>
      <c r="D37" s="29"/>
      <c r="E37" s="29"/>
      <c r="F37" s="29"/>
      <c r="G37" s="29"/>
      <c r="H37" s="29"/>
    </row>
    <row r="38" spans="1:14" x14ac:dyDescent="0.25">
      <c r="A38" s="29"/>
      <c r="B38" s="29"/>
      <c r="C38" s="29"/>
      <c r="D38" s="29"/>
      <c r="E38" s="29"/>
      <c r="F38" s="29"/>
      <c r="G38" s="29"/>
      <c r="H38" s="29"/>
    </row>
    <row r="39" spans="1:14" x14ac:dyDescent="0.25">
      <c r="A39" s="29"/>
      <c r="B39" s="29"/>
      <c r="C39" s="29"/>
      <c r="D39" s="29"/>
      <c r="E39" s="29"/>
      <c r="F39" s="29"/>
      <c r="G39" s="29"/>
      <c r="H39" s="29"/>
    </row>
    <row r="40" spans="1:14" x14ac:dyDescent="0.25">
      <c r="A40" s="29"/>
      <c r="B40" s="29"/>
      <c r="C40" s="29"/>
      <c r="D40" s="29"/>
      <c r="E40" s="29"/>
      <c r="F40" s="29"/>
      <c r="G40" s="29"/>
      <c r="H40" s="29"/>
    </row>
    <row r="41" spans="1:14" x14ac:dyDescent="0.25">
      <c r="A41" s="29"/>
      <c r="B41" s="29"/>
      <c r="C41" s="29"/>
      <c r="D41" s="29"/>
      <c r="E41" s="29"/>
      <c r="F41" s="29"/>
      <c r="G41" s="29"/>
      <c r="H41" s="29"/>
    </row>
    <row r="42" spans="1:14" x14ac:dyDescent="0.25">
      <c r="A42" s="29"/>
      <c r="B42" s="29"/>
      <c r="C42" s="29"/>
      <c r="D42" s="29"/>
      <c r="E42" s="29"/>
      <c r="F42" s="29"/>
      <c r="G42" s="29"/>
      <c r="H42" s="29"/>
    </row>
    <row r="43" spans="1:14" x14ac:dyDescent="0.25">
      <c r="A43" s="29"/>
      <c r="B43" s="29"/>
      <c r="C43" s="29"/>
      <c r="D43" s="29"/>
      <c r="E43" s="29"/>
      <c r="F43" s="29"/>
      <c r="G43" s="29"/>
      <c r="H43" s="29"/>
    </row>
    <row r="44" spans="1:14" x14ac:dyDescent="0.25">
      <c r="A44" s="29"/>
      <c r="B44" s="29"/>
      <c r="C44" s="29"/>
      <c r="D44" s="29"/>
      <c r="E44" s="29"/>
      <c r="F44" s="29"/>
      <c r="G44" s="29"/>
      <c r="H44" s="29"/>
    </row>
    <row r="45" spans="1:14" x14ac:dyDescent="0.25">
      <c r="A45" s="29"/>
      <c r="B45" s="29"/>
      <c r="C45" s="29"/>
      <c r="D45" s="29"/>
      <c r="E45" s="29"/>
      <c r="F45" s="29"/>
      <c r="G45" s="29"/>
      <c r="H45" s="29"/>
    </row>
    <row r="46" spans="1:14" x14ac:dyDescent="0.25">
      <c r="A46" s="29"/>
      <c r="B46" s="29"/>
      <c r="C46" s="29"/>
      <c r="D46" s="29"/>
      <c r="E46" s="29"/>
      <c r="F46" s="29"/>
      <c r="G46" s="29"/>
      <c r="H46" s="29"/>
    </row>
  </sheetData>
  <mergeCells count="6">
    <mergeCell ref="L5:M5"/>
    <mergeCell ref="B5:C5"/>
    <mergeCell ref="D5:E5"/>
    <mergeCell ref="F5:G5"/>
    <mergeCell ref="H5:I5"/>
    <mergeCell ref="J5:K5"/>
  </mergeCells>
  <pageMargins left="0.7" right="0.7" top="0.75" bottom="0.75" header="0.3" footer="0.3"/>
  <ignoredErrors>
    <ignoredError sqref="B24:H26" unlockedFormula="1"/>
    <ignoredError sqref="B6:M14 B5:K5 M5" numberStoredAsText="1"/>
    <ignoredError sqref="B15:M16 B17 D17:M17" numberStoredAsText="1" unlockedFormula="1"/>
  </ignoredError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BFFD5029C04043A1CE8E1385C7231C" ma:contentTypeVersion="12" ma:contentTypeDescription="Crear nuevo documento." ma:contentTypeScope="" ma:versionID="8cc9ced390750ede54e4256659362f03">
  <xsd:schema xmlns:xsd="http://www.w3.org/2001/XMLSchema" xmlns:xs="http://www.w3.org/2001/XMLSchema" xmlns:p="http://schemas.microsoft.com/office/2006/metadata/properties" xmlns:ns2="b9c77173-72a2-4ee7-80db-f33ad7e6db65" xmlns:ns3="f38a43ea-ec6a-4b5f-ba4b-cf067a8ff436" targetNamespace="http://schemas.microsoft.com/office/2006/metadata/properties" ma:root="true" ma:fieldsID="ae481730db0d37eb6831a7cf0c8a8c94" ns2:_="" ns3:_="">
    <xsd:import namespace="b9c77173-72a2-4ee7-80db-f33ad7e6db65"/>
    <xsd:import namespace="f38a43ea-ec6a-4b5f-ba4b-cf067a8ff4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77173-72a2-4ee7-80db-f33ad7e6db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89e55ea-8031-4e5d-8301-df1648fae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8a43ea-ec6a-4b5f-ba4b-cf067a8ff43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0353543-b7b3-4396-9d07-caf938f1e86b}" ma:internalName="TaxCatchAll" ma:showField="CatchAllData" ma:web="f38a43ea-ec6a-4b5f-ba4b-cf067a8ff4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c77173-72a2-4ee7-80db-f33ad7e6db65">
      <Terms xmlns="http://schemas.microsoft.com/office/infopath/2007/PartnerControls"/>
    </lcf76f155ced4ddcb4097134ff3c332f>
    <TaxCatchAll xmlns="f38a43ea-ec6a-4b5f-ba4b-cf067a8ff43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D47336-B4AE-40AE-BBFF-94D7748AF0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c77173-72a2-4ee7-80db-f33ad7e6db65"/>
    <ds:schemaRef ds:uri="f38a43ea-ec6a-4b5f-ba4b-cf067a8ff4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57B957-2CDC-4979-8D2A-C300741A015B}">
  <ds:schemaRefs>
    <ds:schemaRef ds:uri="http://schemas.openxmlformats.org/package/2006/metadata/core-properties"/>
    <ds:schemaRef ds:uri="http://schemas.microsoft.com/office/2006/metadata/properties"/>
    <ds:schemaRef ds:uri="b9c77173-72a2-4ee7-80db-f33ad7e6db65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f38a43ea-ec6a-4b5f-ba4b-cf067a8ff43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E3254E5-5D87-4AEC-A8B2-61651B598B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Supuestos</vt:lpstr>
      <vt:lpstr>Costos Detallados</vt:lpstr>
      <vt:lpstr>Hoja1</vt:lpstr>
      <vt:lpstr>Producción e Ingresos</vt:lpstr>
      <vt:lpstr>Depreciaciones</vt:lpstr>
      <vt:lpstr>Amortización Deuda</vt:lpstr>
      <vt:lpstr>Estado de resultados</vt:lpstr>
      <vt:lpstr>Flujo Caja</vt:lpstr>
      <vt:lpstr>Estadisticas Procomer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Rojas Esquivel</dc:creator>
  <cp:lastModifiedBy>Rebeca Rojas Esquivel</cp:lastModifiedBy>
  <dcterms:created xsi:type="dcterms:W3CDTF">2026-01-27T16:01:41Z</dcterms:created>
  <dcterms:modified xsi:type="dcterms:W3CDTF">2026-05-20T19:21:20Z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0x0101003ABFFD5029C04043A1CE8E1385C7231C</vt:lpwstr>
  </property>
  <property fmtid="{D5CDD505-2E9C-101B-9397-08002B2CF9AE}" pid="3" name="MediaServiceImageTags">
    <vt:lpwstr/>
  </property>
</Properties>
</file>